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TEHIK\STRATEEGIAD\STRATEEGIA 2024\"/>
    </mc:Choice>
  </mc:AlternateContent>
  <xr:revisionPtr revIDLastSave="0" documentId="8_{70B2F81D-8B4A-4366-80BB-57B1C51DC6A3}" xr6:coauthVersionLast="47" xr6:coauthVersionMax="47" xr10:uidLastSave="{00000000-0000-0000-0000-000000000000}"/>
  <bookViews>
    <workbookView xWindow="-110" yWindow="-110" windowWidth="19420" windowHeight="10420" tabRatio="935" xr2:uid="{00000000-000D-0000-FFFF-FFFF00000000}"/>
  </bookViews>
  <sheets>
    <sheet name="kuni 2025 detsember tegevuskava" sheetId="10" r:id="rId1"/>
    <sheet name="Seirearuanne" sheetId="24" r:id="rId2"/>
    <sheet name="Tegevuskava" sheetId="23" r:id="rId3"/>
    <sheet name="KK_lisa" sheetId="22" r:id="rId4"/>
    <sheet name="Ettekande arvutused" sheetId="26" r:id="rId5"/>
    <sheet name="Personal tervise valdkond" sheetId="27" r:id="rId6"/>
    <sheet name="Personal sots-kaitse valdkond" sheetId="28" r:id="rId7"/>
  </sheets>
  <definedNames>
    <definedName name="_xlnm._FilterDatabase" localSheetId="0" hidden="1">'kuni 2025 detsember tegevuskava'!$A$33:$AQ$75</definedName>
    <definedName name="_xlnm._FilterDatabase" localSheetId="5" hidden="1">'Personal tervise valdkond'!$A$5:$T$56</definedName>
    <definedName name="_xlnm.Print_Area" localSheetId="2">Tegevuskava!$B$2:$P$571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9" i="27" l="1"/>
  <c r="R48" i="27"/>
  <c r="T55" i="27"/>
  <c r="T46" i="27"/>
  <c r="T43" i="27"/>
  <c r="T34" i="27"/>
  <c r="T26" i="27"/>
  <c r="T16" i="28"/>
  <c r="T10" i="28"/>
  <c r="R34" i="27"/>
  <c r="R28" i="27"/>
  <c r="R35" i="27"/>
  <c r="S49" i="27" l="1"/>
  <c r="R22" i="27"/>
  <c r="R46" i="27"/>
  <c r="R45" i="27"/>
  <c r="R44" i="27"/>
  <c r="R43" i="27"/>
  <c r="R42" i="27"/>
  <c r="R41" i="27"/>
  <c r="R40" i="27"/>
  <c r="R39" i="27"/>
  <c r="R38" i="27"/>
  <c r="R37" i="27"/>
  <c r="R36" i="27"/>
  <c r="R33" i="27"/>
  <c r="R32" i="27"/>
  <c r="R31" i="27"/>
  <c r="R30" i="27"/>
  <c r="R29" i="27"/>
  <c r="R27" i="27"/>
  <c r="R26" i="27"/>
  <c r="R25" i="27"/>
  <c r="R24" i="27"/>
  <c r="R23" i="27"/>
  <c r="R21" i="27"/>
  <c r="T20" i="27"/>
  <c r="R19" i="27"/>
  <c r="R20" i="27"/>
  <c r="R18" i="27"/>
  <c r="R17" i="27"/>
  <c r="R16" i="27"/>
  <c r="T15" i="27"/>
  <c r="R15" i="27"/>
  <c r="R14" i="27"/>
  <c r="R13" i="27"/>
  <c r="R12" i="27"/>
  <c r="R11" i="27"/>
  <c r="T10" i="27"/>
  <c r="R6" i="27"/>
  <c r="R7" i="27"/>
  <c r="R10" i="27"/>
  <c r="R9" i="27"/>
  <c r="R8" i="27"/>
  <c r="S43" i="27" l="1"/>
  <c r="T42" i="27" s="1"/>
  <c r="S46" i="27"/>
  <c r="T45" i="27" s="1"/>
  <c r="S26" i="27"/>
  <c r="T25" i="27" s="1"/>
  <c r="S34" i="27"/>
  <c r="T33" i="27" s="1"/>
  <c r="S39" i="27"/>
  <c r="S10" i="27"/>
  <c r="T9" i="27" s="1"/>
  <c r="S15" i="27"/>
  <c r="T14" i="27" s="1"/>
  <c r="S20" i="27"/>
  <c r="T19" i="27" s="1"/>
  <c r="R10" i="28" l="1"/>
  <c r="R9" i="28"/>
  <c r="L8" i="28"/>
  <c r="R8" i="28" s="1"/>
  <c r="R7" i="28"/>
  <c r="R6" i="28"/>
  <c r="L13" i="28"/>
  <c r="S10" i="28" l="1"/>
  <c r="R11" i="28"/>
  <c r="R17" i="28" l="1"/>
  <c r="L48" i="27"/>
  <c r="AD57" i="10"/>
  <c r="L49" i="27"/>
  <c r="AD58" i="10"/>
  <c r="AG58" i="10" s="1"/>
  <c r="AJ58" i="10" s="1"/>
  <c r="AM58" i="10" s="1"/>
  <c r="AD38" i="10"/>
  <c r="R47" i="27"/>
  <c r="T49" i="27" l="1"/>
  <c r="T48" i="27" s="1"/>
  <c r="AG57" i="10"/>
  <c r="AJ57" i="10" s="1"/>
  <c r="AM57" i="10" s="1"/>
  <c r="AG38" i="10"/>
  <c r="AJ38" i="10" s="1"/>
  <c r="AM38" i="10" s="1"/>
  <c r="R16" i="28"/>
  <c r="R15" i="28"/>
  <c r="R14" i="28"/>
  <c r="R13" i="28"/>
  <c r="R12" i="28"/>
  <c r="R18" i="28" l="1"/>
  <c r="S16" i="28"/>
  <c r="T15" i="28" s="1"/>
  <c r="AC51" i="10" l="1"/>
  <c r="AC53" i="10"/>
  <c r="AC52" i="10"/>
  <c r="AC49" i="10" l="1"/>
  <c r="Z49" i="10"/>
  <c r="M411" i="23" s="1"/>
  <c r="M416" i="23" s="1"/>
  <c r="Z50" i="10"/>
  <c r="Z165" i="10" s="1"/>
  <c r="Z166" i="10" s="1"/>
  <c r="AC50" i="10"/>
  <c r="S50" i="10" s="1"/>
  <c r="Q72" i="10"/>
  <c r="R72" i="10"/>
  <c r="S72" i="10"/>
  <c r="T72" i="10"/>
  <c r="U72" i="10"/>
  <c r="V72" i="10"/>
  <c r="Q73" i="10"/>
  <c r="R73" i="10"/>
  <c r="S73" i="10"/>
  <c r="T73" i="10"/>
  <c r="U73" i="10"/>
  <c r="V73" i="10"/>
  <c r="Q68" i="10"/>
  <c r="R68" i="10"/>
  <c r="S68" i="10"/>
  <c r="T68" i="10"/>
  <c r="U68" i="10"/>
  <c r="V68" i="10"/>
  <c r="Q69" i="10"/>
  <c r="R69" i="10"/>
  <c r="S69" i="10"/>
  <c r="T69" i="10"/>
  <c r="U69" i="10"/>
  <c r="V69" i="10"/>
  <c r="Q70" i="10"/>
  <c r="R70" i="10"/>
  <c r="S70" i="10"/>
  <c r="T70" i="10"/>
  <c r="U70" i="10"/>
  <c r="V70" i="10"/>
  <c r="Q71" i="10"/>
  <c r="R71" i="10"/>
  <c r="S71" i="10"/>
  <c r="T71" i="10"/>
  <c r="U71" i="10"/>
  <c r="V71" i="10"/>
  <c r="I19" i="10"/>
  <c r="I13" i="22" s="1"/>
  <c r="L114" i="27"/>
  <c r="L111" i="27"/>
  <c r="L110" i="27"/>
  <c r="L108" i="27"/>
  <c r="L109" i="27"/>
  <c r="L115" i="27"/>
  <c r="L116" i="27"/>
  <c r="L117" i="27"/>
  <c r="L118" i="27"/>
  <c r="L113" i="27"/>
  <c r="L112" i="27"/>
  <c r="L120" i="27"/>
  <c r="L119" i="27"/>
  <c r="L57" i="28"/>
  <c r="V54" i="10"/>
  <c r="U54" i="10"/>
  <c r="T54" i="10"/>
  <c r="S54" i="10"/>
  <c r="R54" i="10"/>
  <c r="Q54" i="10"/>
  <c r="V55" i="10"/>
  <c r="U55" i="10"/>
  <c r="T55" i="10"/>
  <c r="S55" i="10"/>
  <c r="E7" i="10" s="1"/>
  <c r="R55" i="10"/>
  <c r="D7" i="10" s="1"/>
  <c r="Q55" i="10"/>
  <c r="C7" i="10" s="1"/>
  <c r="AO65" i="24"/>
  <c r="L60" i="28"/>
  <c r="L71" i="28"/>
  <c r="L100" i="27"/>
  <c r="L103" i="27"/>
  <c r="L97" i="27"/>
  <c r="L96" i="27"/>
  <c r="L95" i="27"/>
  <c r="L90" i="27"/>
  <c r="L93" i="27"/>
  <c r="L92" i="27"/>
  <c r="L94" i="27"/>
  <c r="L91" i="27"/>
  <c r="L89" i="27"/>
  <c r="L107" i="27"/>
  <c r="L106" i="27"/>
  <c r="L105" i="27"/>
  <c r="L104" i="27"/>
  <c r="L102" i="27"/>
  <c r="L101" i="27"/>
  <c r="L99" i="27"/>
  <c r="L98" i="27"/>
  <c r="L70" i="28"/>
  <c r="L69" i="28"/>
  <c r="L68" i="28"/>
  <c r="L62" i="28"/>
  <c r="L67" i="28"/>
  <c r="L66" i="28"/>
  <c r="L65" i="28"/>
  <c r="L64" i="28"/>
  <c r="L63" i="28"/>
  <c r="L61" i="28"/>
  <c r="L59" i="28"/>
  <c r="L58" i="28"/>
  <c r="G71" i="26"/>
  <c r="H86" i="26"/>
  <c r="H71" i="26" s="1"/>
  <c r="D71" i="26"/>
  <c r="E86" i="26"/>
  <c r="E71" i="26" s="1"/>
  <c r="R51" i="27"/>
  <c r="R53" i="27"/>
  <c r="R55" i="27"/>
  <c r="R54" i="27"/>
  <c r="R52" i="27"/>
  <c r="R50" i="27"/>
  <c r="P64" i="10"/>
  <c r="Y41" i="10"/>
  <c r="K305" i="23" s="1"/>
  <c r="K310" i="23" s="1"/>
  <c r="D141" i="26"/>
  <c r="F141" i="26"/>
  <c r="G141" i="26"/>
  <c r="H141" i="26"/>
  <c r="C141" i="26"/>
  <c r="D124" i="26"/>
  <c r="E124" i="26"/>
  <c r="F124" i="26"/>
  <c r="G124" i="26"/>
  <c r="H124" i="26"/>
  <c r="C124" i="26"/>
  <c r="E127" i="26"/>
  <c r="E131" i="26"/>
  <c r="R52" i="10"/>
  <c r="AA171" i="10"/>
  <c r="AA172" i="10" s="1"/>
  <c r="Q63" i="10"/>
  <c r="R63" i="10"/>
  <c r="S63" i="10"/>
  <c r="Q61" i="10"/>
  <c r="R61" i="10"/>
  <c r="S61" i="10"/>
  <c r="S62" i="10"/>
  <c r="R62" i="10"/>
  <c r="Q62" i="10"/>
  <c r="AF56" i="10"/>
  <c r="T56" i="10" s="1"/>
  <c r="AC130" i="10"/>
  <c r="AC131" i="10" s="1"/>
  <c r="AD130" i="10"/>
  <c r="AD131" i="10" s="1"/>
  <c r="AE130" i="10"/>
  <c r="AE131" i="10" s="1"/>
  <c r="AC127" i="10"/>
  <c r="AC128" i="10" s="1"/>
  <c r="AD127" i="10"/>
  <c r="AD128" i="10" s="1"/>
  <c r="AE127" i="10"/>
  <c r="AE128" i="10" s="1"/>
  <c r="AC124" i="10"/>
  <c r="AC125" i="10" s="1"/>
  <c r="AD124" i="10"/>
  <c r="AD125" i="10" s="1"/>
  <c r="AE124" i="10"/>
  <c r="AE125" i="10" s="1"/>
  <c r="AC121" i="10"/>
  <c r="AC122" i="10" s="1"/>
  <c r="AD121" i="10"/>
  <c r="AD122" i="10" s="1"/>
  <c r="AE121" i="10"/>
  <c r="AE122" i="10" s="1"/>
  <c r="Z130" i="10"/>
  <c r="Z131" i="10" s="1"/>
  <c r="AA130" i="10"/>
  <c r="AA131" i="10" s="1"/>
  <c r="AB130" i="10"/>
  <c r="AB131" i="10" s="1"/>
  <c r="Z127" i="10"/>
  <c r="Z128" i="10" s="1"/>
  <c r="AB127" i="10"/>
  <c r="AB128" i="10" s="1"/>
  <c r="Z124" i="10"/>
  <c r="Z125" i="10" s="1"/>
  <c r="AA124" i="10"/>
  <c r="AA125" i="10" s="1"/>
  <c r="AB124" i="10"/>
  <c r="Z121" i="10"/>
  <c r="Z122" i="10" s="1"/>
  <c r="AA121" i="10"/>
  <c r="AA122" i="10" s="1"/>
  <c r="AB121" i="10"/>
  <c r="AB122" i="10" s="1"/>
  <c r="W130" i="10"/>
  <c r="W131" i="10" s="1"/>
  <c r="X130" i="10"/>
  <c r="X131" i="10" s="1"/>
  <c r="Y130" i="10"/>
  <c r="Y131" i="10" s="1"/>
  <c r="W127" i="10"/>
  <c r="W128" i="10" s="1"/>
  <c r="X127" i="10"/>
  <c r="X128" i="10" s="1"/>
  <c r="Y127" i="10"/>
  <c r="Y128" i="10" s="1"/>
  <c r="W124" i="10"/>
  <c r="W125" i="10" s="1"/>
  <c r="X124" i="10"/>
  <c r="X125" i="10" s="1"/>
  <c r="Y124" i="10"/>
  <c r="Y125" i="10" s="1"/>
  <c r="W121" i="10"/>
  <c r="W122" i="10" s="1"/>
  <c r="X121" i="10"/>
  <c r="X122" i="10" s="1"/>
  <c r="Y121" i="10"/>
  <c r="Y122" i="10" s="1"/>
  <c r="AC174" i="10"/>
  <c r="AC175" i="10" s="1"/>
  <c r="AD174" i="10"/>
  <c r="AD175" i="10" s="1"/>
  <c r="AE174" i="10"/>
  <c r="AE175" i="10" s="1"/>
  <c r="AC171" i="10"/>
  <c r="AC172" i="10" s="1"/>
  <c r="AD171" i="10"/>
  <c r="AD172" i="10" s="1"/>
  <c r="AE171" i="10"/>
  <c r="AE172" i="10" s="1"/>
  <c r="AC168" i="10"/>
  <c r="AC169" i="10" s="1"/>
  <c r="AD168" i="10"/>
  <c r="AD169" i="10" s="1"/>
  <c r="AE168" i="10"/>
  <c r="AE169" i="10" s="1"/>
  <c r="AC165" i="10"/>
  <c r="AC166" i="10" s="1"/>
  <c r="AE165" i="10"/>
  <c r="AE166" i="10" s="1"/>
  <c r="Z174" i="10"/>
  <c r="Z175" i="10" s="1"/>
  <c r="AA174" i="10"/>
  <c r="AA175" i="10" s="1"/>
  <c r="AB174" i="10"/>
  <c r="AB175" i="10" s="1"/>
  <c r="Z171" i="10"/>
  <c r="Z172" i="10" s="1"/>
  <c r="AB171" i="10"/>
  <c r="AB172" i="10" s="1"/>
  <c r="Z168" i="10"/>
  <c r="Z169" i="10" s="1"/>
  <c r="AA168" i="10"/>
  <c r="AA169" i="10" s="1"/>
  <c r="AB168" i="10"/>
  <c r="AB169" i="10" s="1"/>
  <c r="AB165" i="10"/>
  <c r="AB166" i="10" s="1"/>
  <c r="W174" i="10"/>
  <c r="W175" i="10" s="1"/>
  <c r="X174" i="10"/>
  <c r="X175" i="10" s="1"/>
  <c r="Y174" i="10"/>
  <c r="Y175" i="10" s="1"/>
  <c r="W171" i="10"/>
  <c r="W172" i="10" s="1"/>
  <c r="X171" i="10"/>
  <c r="X172" i="10" s="1"/>
  <c r="Y171" i="10"/>
  <c r="Y172" i="10" s="1"/>
  <c r="W168" i="10"/>
  <c r="W169" i="10" s="1"/>
  <c r="X168" i="10"/>
  <c r="X169" i="10" s="1"/>
  <c r="Y168" i="10"/>
  <c r="Y169" i="10" s="1"/>
  <c r="W165" i="10"/>
  <c r="W166" i="10" s="1"/>
  <c r="X165" i="10"/>
  <c r="X166" i="10" s="1"/>
  <c r="Y165" i="10"/>
  <c r="Y166" i="10" s="1"/>
  <c r="X204" i="10"/>
  <c r="X205" i="10" s="1"/>
  <c r="Y204" i="10"/>
  <c r="Y205" i="10" s="1"/>
  <c r="Z204" i="10"/>
  <c r="Z205" i="10" s="1"/>
  <c r="AA204" i="10"/>
  <c r="AA205" i="10" s="1"/>
  <c r="AB204" i="10"/>
  <c r="AB205" i="10" s="1"/>
  <c r="AC204" i="10"/>
  <c r="AC205" i="10" s="1"/>
  <c r="AD204" i="10"/>
  <c r="AD205" i="10" s="1"/>
  <c r="AE204" i="10"/>
  <c r="AE205" i="10" s="1"/>
  <c r="X160" i="10"/>
  <c r="X161" i="10" s="1"/>
  <c r="Y160" i="10"/>
  <c r="Y161" i="10" s="1"/>
  <c r="Z160" i="10"/>
  <c r="Z161" i="10" s="1"/>
  <c r="AA160" i="10"/>
  <c r="AA161" i="10" s="1"/>
  <c r="AB160" i="10"/>
  <c r="AB161" i="10" s="1"/>
  <c r="AC160" i="10"/>
  <c r="AC161" i="10" s="1"/>
  <c r="AD160" i="10"/>
  <c r="AD161" i="10" s="1"/>
  <c r="AE160" i="10"/>
  <c r="AE161" i="10" s="1"/>
  <c r="W160" i="10"/>
  <c r="W161" i="10" s="1"/>
  <c r="W204" i="10"/>
  <c r="W205" i="10" s="1"/>
  <c r="X157" i="10"/>
  <c r="X158" i="10" s="1"/>
  <c r="Y157" i="10"/>
  <c r="Y158" i="10" s="1"/>
  <c r="Z157" i="10"/>
  <c r="Z158" i="10" s="1"/>
  <c r="AA157" i="10"/>
  <c r="AA158" i="10" s="1"/>
  <c r="AB157" i="10"/>
  <c r="AB158" i="10" s="1"/>
  <c r="AC157" i="10"/>
  <c r="AC158" i="10" s="1"/>
  <c r="AD157" i="10"/>
  <c r="AD158" i="10" s="1"/>
  <c r="AE157" i="10"/>
  <c r="AE158" i="10" s="1"/>
  <c r="X201" i="10"/>
  <c r="X202" i="10" s="1"/>
  <c r="Y201" i="10"/>
  <c r="Y202" i="10" s="1"/>
  <c r="Z201" i="10"/>
  <c r="Z202" i="10" s="1"/>
  <c r="AA201" i="10"/>
  <c r="AA202" i="10" s="1"/>
  <c r="AB201" i="10"/>
  <c r="AB202" i="10" s="1"/>
  <c r="AC201" i="10"/>
  <c r="AC202" i="10" s="1"/>
  <c r="AD201" i="10"/>
  <c r="AD202" i="10" s="1"/>
  <c r="AE201" i="10"/>
  <c r="AE202" i="10" s="1"/>
  <c r="W157" i="10"/>
  <c r="W158" i="10" s="1"/>
  <c r="W201" i="10"/>
  <c r="W202" i="10" s="1"/>
  <c r="X154" i="10"/>
  <c r="X155" i="10" s="1"/>
  <c r="Y154" i="10"/>
  <c r="Y155" i="10" s="1"/>
  <c r="Z154" i="10"/>
  <c r="Z155" i="10" s="1"/>
  <c r="AA154" i="10"/>
  <c r="AA155" i="10" s="1"/>
  <c r="AB154" i="10"/>
  <c r="AB155" i="10" s="1"/>
  <c r="AC154" i="10"/>
  <c r="AC155" i="10" s="1"/>
  <c r="AD154" i="10"/>
  <c r="AD155" i="10" s="1"/>
  <c r="AE154" i="10"/>
  <c r="AE155" i="10" s="1"/>
  <c r="X198" i="10"/>
  <c r="X199" i="10" s="1"/>
  <c r="Y198" i="10"/>
  <c r="Y199" i="10" s="1"/>
  <c r="Z198" i="10"/>
  <c r="Z199" i="10" s="1"/>
  <c r="AA198" i="10"/>
  <c r="AA199" i="10" s="1"/>
  <c r="AB198" i="10"/>
  <c r="AB199" i="10" s="1"/>
  <c r="AC198" i="10"/>
  <c r="AC199" i="10" s="1"/>
  <c r="AD198" i="10"/>
  <c r="AD199" i="10" s="1"/>
  <c r="AE198" i="10"/>
  <c r="AE199" i="10" s="1"/>
  <c r="W154" i="10"/>
  <c r="W155" i="10" s="1"/>
  <c r="X151" i="10"/>
  <c r="X152" i="10" s="1"/>
  <c r="Y151" i="10"/>
  <c r="Y152" i="10" s="1"/>
  <c r="Z151" i="10"/>
  <c r="Z152" i="10" s="1"/>
  <c r="AA151" i="10"/>
  <c r="AA152" i="10" s="1"/>
  <c r="AB151" i="10"/>
  <c r="AB152" i="10" s="1"/>
  <c r="AC151" i="10"/>
  <c r="AC152" i="10" s="1"/>
  <c r="AD151" i="10"/>
  <c r="AD152" i="10" s="1"/>
  <c r="AE151" i="10"/>
  <c r="AE152" i="10" s="1"/>
  <c r="W198" i="10"/>
  <c r="W199" i="10" s="1"/>
  <c r="X195" i="10"/>
  <c r="X196" i="10" s="1"/>
  <c r="Y195" i="10"/>
  <c r="Y196" i="10" s="1"/>
  <c r="Z195" i="10"/>
  <c r="Z196" i="10" s="1"/>
  <c r="AA195" i="10"/>
  <c r="AA196" i="10" s="1"/>
  <c r="AB195" i="10"/>
  <c r="AB196" i="10" s="1"/>
  <c r="AC195" i="10"/>
  <c r="AC196" i="10" s="1"/>
  <c r="AD195" i="10"/>
  <c r="AD196" i="10" s="1"/>
  <c r="AE195" i="10"/>
  <c r="AE196" i="10" s="1"/>
  <c r="W151" i="10"/>
  <c r="W152" i="10" s="1"/>
  <c r="W195" i="10"/>
  <c r="W196" i="10" s="1"/>
  <c r="X189" i="10"/>
  <c r="X190" i="10" s="1"/>
  <c r="Y189" i="10"/>
  <c r="Y190" i="10" s="1"/>
  <c r="Z189" i="10"/>
  <c r="Z190" i="10" s="1"/>
  <c r="AA189" i="10"/>
  <c r="AA190" i="10" s="1"/>
  <c r="AB189" i="10"/>
  <c r="AB190" i="10" s="1"/>
  <c r="AC189" i="10"/>
  <c r="AC190" i="10" s="1"/>
  <c r="AD189" i="10"/>
  <c r="AD190" i="10" s="1"/>
  <c r="AE189" i="10"/>
  <c r="AE190" i="10" s="1"/>
  <c r="X145" i="10"/>
  <c r="X146" i="10" s="1"/>
  <c r="Z145" i="10"/>
  <c r="Z146" i="10" s="1"/>
  <c r="AA145" i="10"/>
  <c r="AA146" i="10" s="1"/>
  <c r="AB145" i="10"/>
  <c r="AB146" i="10" s="1"/>
  <c r="AC145" i="10"/>
  <c r="AC146" i="10" s="1"/>
  <c r="AD145" i="10"/>
  <c r="AD146" i="10" s="1"/>
  <c r="AE145" i="10"/>
  <c r="AE146" i="10" s="1"/>
  <c r="W145" i="10"/>
  <c r="W146" i="10" s="1"/>
  <c r="X142" i="10"/>
  <c r="X143" i="10" s="1"/>
  <c r="Y142" i="10"/>
  <c r="Y143" i="10" s="1"/>
  <c r="Z142" i="10"/>
  <c r="Z143" i="10" s="1"/>
  <c r="AA142" i="10"/>
  <c r="AA143" i="10" s="1"/>
  <c r="AB142" i="10"/>
  <c r="AB143" i="10" s="1"/>
  <c r="AC142" i="10"/>
  <c r="AC143" i="10" s="1"/>
  <c r="AD142" i="10"/>
  <c r="AD143" i="10" s="1"/>
  <c r="AE142" i="10"/>
  <c r="AE143" i="10" s="1"/>
  <c r="W142" i="10"/>
  <c r="W143" i="10" s="1"/>
  <c r="W189" i="10"/>
  <c r="W190" i="10" s="1"/>
  <c r="X186" i="10"/>
  <c r="X187" i="10" s="1"/>
  <c r="Y186" i="10"/>
  <c r="Y187" i="10" s="1"/>
  <c r="Z186" i="10"/>
  <c r="Z187" i="10" s="1"/>
  <c r="AA186" i="10"/>
  <c r="AA187" i="10" s="1"/>
  <c r="AB186" i="10"/>
  <c r="AB187" i="10" s="1"/>
  <c r="AC186" i="10"/>
  <c r="AC187" i="10" s="1"/>
  <c r="AD186" i="10"/>
  <c r="AD187" i="10" s="1"/>
  <c r="AE186" i="10"/>
  <c r="AE187" i="10" s="1"/>
  <c r="X139" i="10"/>
  <c r="X140" i="10" s="1"/>
  <c r="Y139" i="10"/>
  <c r="Y140" i="10" s="1"/>
  <c r="Z139" i="10"/>
  <c r="Z140" i="10" s="1"/>
  <c r="AA139" i="10"/>
  <c r="AA140" i="10" s="1"/>
  <c r="AB139" i="10"/>
  <c r="AB140" i="10" s="1"/>
  <c r="AC139" i="10"/>
  <c r="AC140" i="10" s="1"/>
  <c r="AD139" i="10"/>
  <c r="AD140" i="10" s="1"/>
  <c r="AE139" i="10"/>
  <c r="AE140" i="10" s="1"/>
  <c r="W139" i="10"/>
  <c r="W140" i="10" s="1"/>
  <c r="W186" i="10"/>
  <c r="W187" i="10" s="1"/>
  <c r="X183" i="10"/>
  <c r="X184" i="10" s="1"/>
  <c r="Y183" i="10"/>
  <c r="Y184" i="10" s="1"/>
  <c r="Z183" i="10"/>
  <c r="Z184" i="10" s="1"/>
  <c r="AA183" i="10"/>
  <c r="AA184" i="10" s="1"/>
  <c r="AB183" i="10"/>
  <c r="AB184" i="10" s="1"/>
  <c r="AC183" i="10"/>
  <c r="AC184" i="10" s="1"/>
  <c r="AD183" i="10"/>
  <c r="AD184" i="10" s="1"/>
  <c r="AE183" i="10"/>
  <c r="AE184" i="10" s="1"/>
  <c r="X136" i="10"/>
  <c r="X137" i="10" s="1"/>
  <c r="Y136" i="10"/>
  <c r="Y137" i="10" s="1"/>
  <c r="Z136" i="10"/>
  <c r="Z137" i="10" s="1"/>
  <c r="AA136" i="10"/>
  <c r="AA137" i="10" s="1"/>
  <c r="AB136" i="10"/>
  <c r="AB137" i="10" s="1"/>
  <c r="AC136" i="10"/>
  <c r="AC137" i="10" s="1"/>
  <c r="AD136" i="10"/>
  <c r="AD137" i="10" s="1"/>
  <c r="AE136" i="10"/>
  <c r="AE137" i="10" s="1"/>
  <c r="W136" i="10"/>
  <c r="W137" i="10" s="1"/>
  <c r="W183" i="10"/>
  <c r="W184" i="10" s="1"/>
  <c r="AE180" i="10"/>
  <c r="AE181" i="10" s="1"/>
  <c r="AD180" i="10"/>
  <c r="AD181" i="10" s="1"/>
  <c r="AC180" i="10"/>
  <c r="AC181" i="10" s="1"/>
  <c r="AB180" i="10"/>
  <c r="AB181" i="10" s="1"/>
  <c r="AA180" i="10"/>
  <c r="AA181" i="10" s="1"/>
  <c r="Z180" i="10"/>
  <c r="Z181" i="10" s="1"/>
  <c r="Y180" i="10"/>
  <c r="Y181" i="10" s="1"/>
  <c r="X180" i="10"/>
  <c r="X181" i="10" s="1"/>
  <c r="Q42" i="10"/>
  <c r="R42" i="10"/>
  <c r="S42" i="10"/>
  <c r="T42" i="10"/>
  <c r="U42" i="10"/>
  <c r="V42" i="10"/>
  <c r="Q43" i="10"/>
  <c r="R43" i="10"/>
  <c r="S43" i="10"/>
  <c r="T43" i="10"/>
  <c r="U43" i="10"/>
  <c r="V43" i="10"/>
  <c r="Q81" i="24"/>
  <c r="R81" i="24"/>
  <c r="S81" i="24"/>
  <c r="T81" i="24"/>
  <c r="U81" i="24"/>
  <c r="Q82" i="24"/>
  <c r="R82" i="24"/>
  <c r="S82" i="24"/>
  <c r="T82" i="24"/>
  <c r="U82" i="24"/>
  <c r="Q83" i="24"/>
  <c r="R83" i="24"/>
  <c r="S83" i="24"/>
  <c r="T83" i="24"/>
  <c r="U83" i="24"/>
  <c r="Q84" i="24"/>
  <c r="R84" i="24"/>
  <c r="S84" i="24"/>
  <c r="T84" i="24"/>
  <c r="U84" i="24"/>
  <c r="Q85" i="24"/>
  <c r="R85" i="24"/>
  <c r="S85" i="24"/>
  <c r="T85" i="24"/>
  <c r="U85" i="24"/>
  <c r="Q86" i="24"/>
  <c r="R86" i="24"/>
  <c r="S86" i="24"/>
  <c r="T86" i="24"/>
  <c r="U86" i="24"/>
  <c r="Q87" i="24"/>
  <c r="R87" i="24"/>
  <c r="S87" i="24"/>
  <c r="T87" i="24"/>
  <c r="U87" i="24"/>
  <c r="Q88" i="24"/>
  <c r="R88" i="24"/>
  <c r="S88" i="24"/>
  <c r="T88" i="24"/>
  <c r="U88" i="24"/>
  <c r="Q89" i="24"/>
  <c r="R89" i="24"/>
  <c r="S89" i="24"/>
  <c r="T89" i="24"/>
  <c r="U89" i="24"/>
  <c r="Q90" i="24"/>
  <c r="R90" i="24"/>
  <c r="S90" i="24"/>
  <c r="T90" i="24"/>
  <c r="U90" i="24"/>
  <c r="Q91" i="24"/>
  <c r="R91" i="24"/>
  <c r="S91" i="24"/>
  <c r="T91" i="24"/>
  <c r="U91" i="24"/>
  <c r="Q92" i="24"/>
  <c r="R92" i="24"/>
  <c r="S92" i="24"/>
  <c r="T92" i="24"/>
  <c r="U92" i="24"/>
  <c r="Q93" i="24"/>
  <c r="R93" i="24"/>
  <c r="S93" i="24"/>
  <c r="T93" i="24"/>
  <c r="U93" i="24"/>
  <c r="Q94" i="24"/>
  <c r="R94" i="24"/>
  <c r="S94" i="24"/>
  <c r="T94" i="24"/>
  <c r="U94" i="24"/>
  <c r="Q95" i="24"/>
  <c r="R95" i="24"/>
  <c r="S95" i="24"/>
  <c r="T95" i="24"/>
  <c r="U95" i="24"/>
  <c r="Q96" i="24"/>
  <c r="R96" i="24"/>
  <c r="S96" i="24"/>
  <c r="T96" i="24"/>
  <c r="U96" i="24"/>
  <c r="Q97" i="24"/>
  <c r="C8" i="24" s="1"/>
  <c r="R97" i="24"/>
  <c r="D8" i="24" s="1"/>
  <c r="S97" i="24"/>
  <c r="T97" i="24"/>
  <c r="U97" i="24"/>
  <c r="Q98" i="24"/>
  <c r="R98" i="24"/>
  <c r="S98" i="24"/>
  <c r="T98" i="24"/>
  <c r="U98" i="24"/>
  <c r="Q99" i="24"/>
  <c r="R99" i="24"/>
  <c r="S99" i="24"/>
  <c r="T99" i="24"/>
  <c r="U99" i="24"/>
  <c r="Q100" i="24"/>
  <c r="R100" i="24"/>
  <c r="S100" i="24"/>
  <c r="T100" i="24"/>
  <c r="U100" i="24"/>
  <c r="Q101" i="24"/>
  <c r="R101" i="24"/>
  <c r="S101" i="24"/>
  <c r="T101" i="24"/>
  <c r="U101" i="24"/>
  <c r="Q102" i="24"/>
  <c r="R102" i="24"/>
  <c r="S102" i="24"/>
  <c r="T102" i="24"/>
  <c r="U102" i="24"/>
  <c r="Q103" i="24"/>
  <c r="R103" i="24"/>
  <c r="S103" i="24"/>
  <c r="T103" i="24"/>
  <c r="U103" i="24"/>
  <c r="Q104" i="24"/>
  <c r="R104" i="24"/>
  <c r="S104" i="24"/>
  <c r="T104" i="24"/>
  <c r="U104" i="24"/>
  <c r="Q105" i="24"/>
  <c r="R105" i="24"/>
  <c r="S105" i="24"/>
  <c r="T105" i="24"/>
  <c r="U105" i="24"/>
  <c r="Q106" i="24"/>
  <c r="R106" i="24"/>
  <c r="S106" i="24"/>
  <c r="T106" i="24"/>
  <c r="U106" i="24"/>
  <c r="Q107" i="24"/>
  <c r="R107" i="24"/>
  <c r="S107" i="24"/>
  <c r="T107" i="24"/>
  <c r="U107" i="24"/>
  <c r="Q108" i="24"/>
  <c r="R108" i="24"/>
  <c r="S108" i="24"/>
  <c r="T108" i="24"/>
  <c r="U108" i="24"/>
  <c r="Q109" i="24"/>
  <c r="R109" i="24"/>
  <c r="S109" i="24"/>
  <c r="T109" i="24"/>
  <c r="U109" i="24"/>
  <c r="Q110" i="24"/>
  <c r="R110" i="24"/>
  <c r="S110" i="24"/>
  <c r="T110" i="24"/>
  <c r="U110" i="24"/>
  <c r="Q111" i="24"/>
  <c r="R111" i="24"/>
  <c r="S111" i="24"/>
  <c r="T111" i="24"/>
  <c r="U111" i="24"/>
  <c r="Q112" i="24"/>
  <c r="R112" i="24"/>
  <c r="S112" i="24"/>
  <c r="T112" i="24"/>
  <c r="U112" i="24"/>
  <c r="Q113" i="24"/>
  <c r="R113" i="24"/>
  <c r="S113" i="24"/>
  <c r="T113" i="24"/>
  <c r="U113" i="24"/>
  <c r="Q114" i="24"/>
  <c r="R114" i="24"/>
  <c r="S114" i="24"/>
  <c r="T114" i="24"/>
  <c r="U114" i="24"/>
  <c r="Q115" i="24"/>
  <c r="R115" i="24"/>
  <c r="S115" i="24"/>
  <c r="T115" i="24"/>
  <c r="U115" i="24"/>
  <c r="Q116" i="24"/>
  <c r="R116" i="24"/>
  <c r="S116" i="24"/>
  <c r="T116" i="24"/>
  <c r="U116" i="24"/>
  <c r="Q117" i="24"/>
  <c r="R117" i="24"/>
  <c r="S117" i="24"/>
  <c r="T117" i="24"/>
  <c r="U117" i="24"/>
  <c r="Q118" i="24"/>
  <c r="R118" i="24"/>
  <c r="S118" i="24"/>
  <c r="T118" i="24"/>
  <c r="U118" i="24"/>
  <c r="W77" i="10"/>
  <c r="W78" i="10" s="1"/>
  <c r="Q50" i="10"/>
  <c r="R50" i="10"/>
  <c r="T50" i="10"/>
  <c r="U50" i="10"/>
  <c r="V50" i="10"/>
  <c r="Q51" i="10"/>
  <c r="R51" i="10"/>
  <c r="S51" i="10"/>
  <c r="T51" i="10"/>
  <c r="U51" i="10"/>
  <c r="V51" i="10"/>
  <c r="Q52" i="10"/>
  <c r="S52" i="10"/>
  <c r="T52" i="10"/>
  <c r="U52" i="10"/>
  <c r="V52" i="10"/>
  <c r="Q53" i="10"/>
  <c r="T53" i="10"/>
  <c r="U53" i="10"/>
  <c r="V53" i="10"/>
  <c r="C8" i="10"/>
  <c r="D8" i="10"/>
  <c r="E8" i="10"/>
  <c r="Q56" i="10"/>
  <c r="R56" i="10"/>
  <c r="S56" i="10"/>
  <c r="U56" i="10"/>
  <c r="V56" i="10"/>
  <c r="Q57" i="10"/>
  <c r="R57" i="10"/>
  <c r="S57" i="10"/>
  <c r="T57" i="10"/>
  <c r="U57" i="10"/>
  <c r="V57" i="10"/>
  <c r="Q58" i="10"/>
  <c r="R58" i="10"/>
  <c r="S58" i="10"/>
  <c r="T58" i="10"/>
  <c r="U58" i="10"/>
  <c r="V58" i="10"/>
  <c r="Q59" i="10"/>
  <c r="R59" i="10"/>
  <c r="S59" i="10"/>
  <c r="T59" i="10"/>
  <c r="U59" i="10"/>
  <c r="V59" i="10"/>
  <c r="Q60" i="10"/>
  <c r="R60" i="10"/>
  <c r="S60" i="10"/>
  <c r="T60" i="10"/>
  <c r="U60" i="10"/>
  <c r="V60" i="10"/>
  <c r="C22" i="22"/>
  <c r="D22" i="22"/>
  <c r="E22" i="22"/>
  <c r="F22" i="22"/>
  <c r="G22" i="22"/>
  <c r="H22" i="22"/>
  <c r="I22" i="22"/>
  <c r="B22" i="22"/>
  <c r="B19" i="22"/>
  <c r="Q36" i="10"/>
  <c r="Q37" i="10"/>
  <c r="Q38" i="10"/>
  <c r="Q39" i="10"/>
  <c r="AE86" i="10"/>
  <c r="AE87" i="10" s="1"/>
  <c r="AD86" i="10"/>
  <c r="AD87" i="10" s="1"/>
  <c r="AC86" i="10"/>
  <c r="AC87" i="10" s="1"/>
  <c r="AB86" i="10"/>
  <c r="AB87" i="10" s="1"/>
  <c r="AA86" i="10"/>
  <c r="AA87" i="10" s="1"/>
  <c r="Z86" i="10"/>
  <c r="Z87" i="10" s="1"/>
  <c r="Y86" i="10"/>
  <c r="Y87" i="10" s="1"/>
  <c r="X86" i="10"/>
  <c r="X87" i="10" s="1"/>
  <c r="W86" i="10"/>
  <c r="W87" i="10" s="1"/>
  <c r="AE83" i="10"/>
  <c r="AE84" i="10" s="1"/>
  <c r="AD83" i="10"/>
  <c r="AD84" i="10" s="1"/>
  <c r="AC83" i="10"/>
  <c r="AC84" i="10" s="1"/>
  <c r="AB83" i="10"/>
  <c r="AB84" i="10" s="1"/>
  <c r="Z83" i="10"/>
  <c r="Z84" i="10" s="1"/>
  <c r="Y83" i="10"/>
  <c r="Y84" i="10" s="1"/>
  <c r="X83" i="10"/>
  <c r="X84" i="10" s="1"/>
  <c r="W83" i="10"/>
  <c r="W84" i="10" s="1"/>
  <c r="AE80" i="10"/>
  <c r="AE81" i="10" s="1"/>
  <c r="AD80" i="10"/>
  <c r="AD81" i="10" s="1"/>
  <c r="AC80" i="10"/>
  <c r="AC81" i="10" s="1"/>
  <c r="AB80" i="10"/>
  <c r="AA80" i="10"/>
  <c r="AA81" i="10" s="1"/>
  <c r="Z80" i="10"/>
  <c r="Z81" i="10" s="1"/>
  <c r="Y80" i="10"/>
  <c r="Y81" i="10" s="1"/>
  <c r="X80" i="10"/>
  <c r="X81" i="10" s="1"/>
  <c r="W80" i="10"/>
  <c r="W81" i="10" s="1"/>
  <c r="AE77" i="10"/>
  <c r="AE78" i="10" s="1"/>
  <c r="AE92" i="10"/>
  <c r="AE93" i="10" s="1"/>
  <c r="AE95" i="10"/>
  <c r="AE96" i="10" s="1"/>
  <c r="AE98" i="10"/>
  <c r="AE99" i="10" s="1"/>
  <c r="AE101" i="10"/>
  <c r="AE102" i="10" s="1"/>
  <c r="AE107" i="10"/>
  <c r="AE108" i="10" s="1"/>
  <c r="AE110" i="10"/>
  <c r="AE111" i="10" s="1"/>
  <c r="AE113" i="10"/>
  <c r="AE114" i="10" s="1"/>
  <c r="AE116" i="10"/>
  <c r="AE117" i="10" s="1"/>
  <c r="AC77" i="10"/>
  <c r="AC78" i="10" s="1"/>
  <c r="AB77" i="10"/>
  <c r="AB78" i="10" s="1"/>
  <c r="Y77" i="10"/>
  <c r="Y78" i="10" s="1"/>
  <c r="X77" i="10"/>
  <c r="X78" i="10" s="1"/>
  <c r="R39" i="10"/>
  <c r="V35" i="10"/>
  <c r="U36" i="24"/>
  <c r="V74" i="10"/>
  <c r="V36" i="10"/>
  <c r="V37" i="10"/>
  <c r="V38" i="10"/>
  <c r="V39" i="10"/>
  <c r="V40" i="10"/>
  <c r="P40" i="10" s="1"/>
  <c r="V41" i="10"/>
  <c r="P41" i="10" s="1"/>
  <c r="V44" i="10"/>
  <c r="V45" i="10"/>
  <c r="V46" i="10"/>
  <c r="V47" i="10"/>
  <c r="V48" i="10"/>
  <c r="V49" i="10"/>
  <c r="I54" i="26"/>
  <c r="H54" i="26"/>
  <c r="G54" i="26"/>
  <c r="F54" i="26"/>
  <c r="E54" i="26"/>
  <c r="D54" i="26"/>
  <c r="C42" i="26"/>
  <c r="E6" i="26"/>
  <c r="F9" i="26"/>
  <c r="F8" i="26"/>
  <c r="F7" i="26"/>
  <c r="F21" i="26"/>
  <c r="F24"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119" i="24"/>
  <c r="S119" i="24"/>
  <c r="T119" i="24"/>
  <c r="U119" i="24"/>
  <c r="R120" i="24"/>
  <c r="S120" i="24"/>
  <c r="T120" i="24"/>
  <c r="U120" i="24"/>
  <c r="R121" i="24"/>
  <c r="S121" i="24"/>
  <c r="T121" i="24"/>
  <c r="U121" i="24"/>
  <c r="R122" i="24"/>
  <c r="S122" i="24"/>
  <c r="T122" i="24"/>
  <c r="U122" i="24"/>
  <c r="R123" i="24"/>
  <c r="S123" i="24"/>
  <c r="T123" i="24"/>
  <c r="U123" i="24"/>
  <c r="R124" i="24"/>
  <c r="S124" i="24"/>
  <c r="T124" i="24"/>
  <c r="U124" i="24"/>
  <c r="R125" i="24"/>
  <c r="S125" i="24"/>
  <c r="T125" i="24"/>
  <c r="U125" i="24"/>
  <c r="R126" i="24"/>
  <c r="S126" i="24"/>
  <c r="T126" i="24"/>
  <c r="U126" i="24"/>
  <c r="R127" i="24"/>
  <c r="S127" i="24"/>
  <c r="T127" i="24"/>
  <c r="U127" i="24"/>
  <c r="R128" i="24"/>
  <c r="S128" i="24"/>
  <c r="T128" i="24"/>
  <c r="U128" i="24"/>
  <c r="R129" i="24"/>
  <c r="S129" i="24"/>
  <c r="T129" i="24"/>
  <c r="U129" i="24"/>
  <c r="R130" i="24"/>
  <c r="S130" i="24"/>
  <c r="T130" i="24"/>
  <c r="U130" i="24"/>
  <c r="R131" i="24"/>
  <c r="S131" i="24"/>
  <c r="T131" i="24"/>
  <c r="U131"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E11" i="10"/>
  <c r="D11" i="10"/>
  <c r="C11" i="10"/>
  <c r="F71" i="26"/>
  <c r="C71" i="26"/>
  <c r="E356" i="23"/>
  <c r="G41" i="23" a="1"/>
  <c r="G41" i="23" s="1"/>
  <c r="E41" i="23"/>
  <c r="K116" i="23"/>
  <c r="K121" i="23" s="1"/>
  <c r="K115" i="23"/>
  <c r="K120" i="23" s="1"/>
  <c r="K114" i="23"/>
  <c r="K119" i="23" s="1"/>
  <c r="K118" i="23" s="1"/>
  <c r="O269" i="23"/>
  <c r="O274" i="23" s="1"/>
  <c r="O260" i="23"/>
  <c r="O265" i="23" s="1"/>
  <c r="O268" i="23"/>
  <c r="O273" i="23" s="1"/>
  <c r="O259" i="23"/>
  <c r="O264" i="23" s="1"/>
  <c r="O267" i="23"/>
  <c r="O272" i="23" s="1"/>
  <c r="O271" i="23" s="1"/>
  <c r="M269" i="23"/>
  <c r="O258" i="23"/>
  <c r="O263" i="23" s="1"/>
  <c r="O262" i="23" s="1"/>
  <c r="M268" i="23"/>
  <c r="M273" i="23" s="1"/>
  <c r="M267" i="23"/>
  <c r="M272" i="23" s="1"/>
  <c r="M271" i="23" s="1"/>
  <c r="M260" i="23"/>
  <c r="K269" i="23"/>
  <c r="K274" i="23" s="1"/>
  <c r="M259" i="23"/>
  <c r="M264" i="23" s="1"/>
  <c r="K268" i="23"/>
  <c r="K273" i="23" s="1"/>
  <c r="M258" i="23"/>
  <c r="M263" i="23" s="1"/>
  <c r="M262" i="23" s="1"/>
  <c r="K267" i="23"/>
  <c r="K266" i="23" s="1"/>
  <c r="K260" i="23"/>
  <c r="K265" i="23" s="1"/>
  <c r="K259" i="23"/>
  <c r="K264" i="23" s="1"/>
  <c r="K258" i="23"/>
  <c r="K257" i="23" s="1"/>
  <c r="O278" i="23"/>
  <c r="O283" i="23" s="1"/>
  <c r="O277" i="23"/>
  <c r="O282" i="23" s="1"/>
  <c r="O276" i="23"/>
  <c r="O281" i="23" s="1"/>
  <c r="O280" i="23" s="1"/>
  <c r="M278" i="23"/>
  <c r="M283" i="23" s="1"/>
  <c r="M277" i="23"/>
  <c r="M282" i="23" s="1"/>
  <c r="M276" i="23"/>
  <c r="M275" i="23" s="1"/>
  <c r="K278" i="23"/>
  <c r="K283" i="23" s="1"/>
  <c r="O251" i="23"/>
  <c r="O256" i="23" s="1"/>
  <c r="K277" i="23"/>
  <c r="K282" i="23" s="1"/>
  <c r="O250" i="23"/>
  <c r="O255" i="23" s="1"/>
  <c r="K276" i="23"/>
  <c r="K281" i="23" s="1"/>
  <c r="O249" i="23"/>
  <c r="O248" i="23" s="1"/>
  <c r="M251" i="23"/>
  <c r="M256" i="23" s="1"/>
  <c r="M250" i="23"/>
  <c r="M255" i="23" s="1"/>
  <c r="O287" i="23"/>
  <c r="O292" i="23" s="1"/>
  <c r="M249" i="23"/>
  <c r="M254" i="23" s="1"/>
  <c r="M253" i="23" s="1"/>
  <c r="O286" i="23"/>
  <c r="O291" i="23" s="1"/>
  <c r="O285" i="23"/>
  <c r="O290" i="23" s="1"/>
  <c r="O289" i="23" s="1"/>
  <c r="K251" i="23"/>
  <c r="K256" i="23" s="1"/>
  <c r="M287" i="23"/>
  <c r="M292" i="23" s="1"/>
  <c r="M286" i="23"/>
  <c r="M291" i="23" s="1"/>
  <c r="K250" i="23"/>
  <c r="K255" i="23" s="1"/>
  <c r="M285" i="23"/>
  <c r="K287" i="23"/>
  <c r="K292" i="23" s="1"/>
  <c r="K286" i="23"/>
  <c r="K291" i="23" s="1"/>
  <c r="K249" i="23"/>
  <c r="K248" i="23" s="1"/>
  <c r="K285" i="23"/>
  <c r="K290" i="23" s="1"/>
  <c r="K289" i="23" s="1"/>
  <c r="O296" i="23"/>
  <c r="O301" i="23" s="1"/>
  <c r="O295" i="23"/>
  <c r="O300" i="23" s="1"/>
  <c r="O294" i="23"/>
  <c r="O299" i="23" s="1"/>
  <c r="M296" i="23"/>
  <c r="M301" i="23" s="1"/>
  <c r="M295" i="23"/>
  <c r="O242" i="23"/>
  <c r="O247" i="23" s="1"/>
  <c r="M294" i="23"/>
  <c r="M299" i="23" s="1"/>
  <c r="O241" i="23"/>
  <c r="O246" i="23" s="1"/>
  <c r="K296" i="23"/>
  <c r="K301" i="23" s="1"/>
  <c r="O240" i="23"/>
  <c r="O239" i="23" s="1"/>
  <c r="K295" i="23"/>
  <c r="K300" i="23" s="1"/>
  <c r="K294" i="23"/>
  <c r="K299" i="23" s="1"/>
  <c r="O305" i="23"/>
  <c r="O310" i="23" s="1"/>
  <c r="O304" i="23"/>
  <c r="O309" i="23" s="1"/>
  <c r="O303" i="23"/>
  <c r="M242" i="23"/>
  <c r="M247" i="23" s="1"/>
  <c r="M305" i="23"/>
  <c r="M310" i="23" s="1"/>
  <c r="M241" i="23"/>
  <c r="M246" i="23" s="1"/>
  <c r="M240" i="23"/>
  <c r="M245" i="23" s="1"/>
  <c r="M244" i="23" s="1"/>
  <c r="M304" i="23"/>
  <c r="M309" i="23" s="1"/>
  <c r="K304" i="23"/>
  <c r="K309" i="23" s="1"/>
  <c r="M303" i="23"/>
  <c r="M308" i="23" s="1"/>
  <c r="K242" i="23"/>
  <c r="K247" i="23" s="1"/>
  <c r="K241" i="23"/>
  <c r="K246" i="23" s="1"/>
  <c r="K303" i="23"/>
  <c r="K308" i="23" s="1"/>
  <c r="K240" i="23"/>
  <c r="K245" i="23" s="1"/>
  <c r="K244" i="23" s="1"/>
  <c r="O314" i="23"/>
  <c r="O319" i="23" s="1"/>
  <c r="O313" i="23"/>
  <c r="O318" i="23" s="1"/>
  <c r="O312" i="23"/>
  <c r="O311" i="23" s="1"/>
  <c r="O233" i="23"/>
  <c r="O238" i="23" s="1"/>
  <c r="M314" i="23"/>
  <c r="M319" i="23" s="1"/>
  <c r="M313" i="23"/>
  <c r="M318" i="23" s="1"/>
  <c r="O232" i="23"/>
  <c r="O237" i="23" s="1"/>
  <c r="M312" i="23"/>
  <c r="M311" i="23" s="1"/>
  <c r="O231" i="23"/>
  <c r="O236" i="23" s="1"/>
  <c r="O235" i="23" s="1"/>
  <c r="K314" i="23"/>
  <c r="K313" i="23"/>
  <c r="K318" i="23" s="1"/>
  <c r="M233" i="23"/>
  <c r="M238" i="23" s="1"/>
  <c r="M232" i="23"/>
  <c r="M237" i="23" s="1"/>
  <c r="M231" i="23"/>
  <c r="M236" i="23" s="1"/>
  <c r="M235" i="23" s="1"/>
  <c r="K312" i="23"/>
  <c r="O323" i="23"/>
  <c r="O328" i="23" s="1"/>
  <c r="K233" i="23"/>
  <c r="K238" i="23" s="1"/>
  <c r="O322" i="23"/>
  <c r="O327" i="23" s="1"/>
  <c r="O321" i="23"/>
  <c r="K232" i="23"/>
  <c r="K237" i="23" s="1"/>
  <c r="M323" i="23"/>
  <c r="M328" i="23" s="1"/>
  <c r="M322" i="23"/>
  <c r="M327" i="23" s="1"/>
  <c r="K231" i="23"/>
  <c r="K236" i="23" s="1"/>
  <c r="K235" i="23" s="1"/>
  <c r="M321" i="23"/>
  <c r="M326" i="23" s="1"/>
  <c r="K323" i="23"/>
  <c r="K328" i="23" s="1"/>
  <c r="K322" i="23"/>
  <c r="K327" i="23" s="1"/>
  <c r="K321" i="23"/>
  <c r="K326" i="23" s="1"/>
  <c r="O332" i="23"/>
  <c r="O224" i="23"/>
  <c r="O229" i="23" s="1"/>
  <c r="O331" i="23"/>
  <c r="O336" i="23" s="1"/>
  <c r="O330" i="23"/>
  <c r="O335" i="23" s="1"/>
  <c r="O334" i="23" s="1"/>
  <c r="O223" i="23"/>
  <c r="O228" i="23" s="1"/>
  <c r="K223" i="23"/>
  <c r="K228" i="23" s="1"/>
  <c r="M223" i="23"/>
  <c r="M228" i="23" s="1"/>
  <c r="M332" i="23"/>
  <c r="M337" i="23" s="1"/>
  <c r="O222" i="23"/>
  <c r="O227" i="23" s="1"/>
  <c r="M331" i="23"/>
  <c r="M336" i="23" s="1"/>
  <c r="M330" i="23"/>
  <c r="M335" i="23" s="1"/>
  <c r="M334" i="23" s="1"/>
  <c r="M224" i="23"/>
  <c r="M229" i="23" s="1"/>
  <c r="K332" i="23"/>
  <c r="K337" i="23" s="1"/>
  <c r="K331" i="23"/>
  <c r="K336" i="23" s="1"/>
  <c r="M222" i="23"/>
  <c r="M227" i="23" s="1"/>
  <c r="M226" i="23" s="1"/>
  <c r="K224" i="23"/>
  <c r="K330" i="23"/>
  <c r="K329" i="23" s="1"/>
  <c r="O341" i="23"/>
  <c r="O340" i="23"/>
  <c r="O345" i="23" s="1"/>
  <c r="K222" i="23"/>
  <c r="K221" i="23" s="1"/>
  <c r="O339" i="23"/>
  <c r="O344" i="23" s="1"/>
  <c r="M341" i="23"/>
  <c r="K340" i="23"/>
  <c r="K345" i="23" s="1"/>
  <c r="M339" i="23"/>
  <c r="M344" i="23" s="1"/>
  <c r="K341" i="23"/>
  <c r="K346" i="23" s="1"/>
  <c r="K339" i="23"/>
  <c r="K344" i="23" s="1"/>
  <c r="O206" i="23"/>
  <c r="O211" i="23" s="1"/>
  <c r="O205" i="23"/>
  <c r="O210" i="23" s="1"/>
  <c r="O350" i="23"/>
  <c r="O355" i="23" s="1"/>
  <c r="O349" i="23"/>
  <c r="O204" i="23"/>
  <c r="O209" i="23" s="1"/>
  <c r="O208" i="23" s="1"/>
  <c r="O348" i="23"/>
  <c r="M350" i="23"/>
  <c r="M355" i="23" s="1"/>
  <c r="M349" i="23"/>
  <c r="M354" i="23" s="1"/>
  <c r="M348" i="23"/>
  <c r="M353" i="23" s="1"/>
  <c r="K350" i="23"/>
  <c r="K355" i="23" s="1"/>
  <c r="K349" i="23"/>
  <c r="K354" i="23" s="1"/>
  <c r="M206" i="23"/>
  <c r="K348" i="23"/>
  <c r="K353" i="23" s="1"/>
  <c r="O359" i="23"/>
  <c r="O364" i="23" s="1"/>
  <c r="O358" i="23"/>
  <c r="O363" i="23" s="1"/>
  <c r="O357" i="23"/>
  <c r="O356" i="23" s="1"/>
  <c r="M205" i="23"/>
  <c r="M210" i="23" s="1"/>
  <c r="M359" i="23"/>
  <c r="M364" i="23" s="1"/>
  <c r="M358" i="23"/>
  <c r="M363" i="23" s="1"/>
  <c r="M204" i="23"/>
  <c r="M209" i="23" s="1"/>
  <c r="M208" i="23" s="1"/>
  <c r="M357" i="23"/>
  <c r="K359" i="23"/>
  <c r="K364" i="23" s="1"/>
  <c r="K206" i="23"/>
  <c r="K211" i="23" s="1"/>
  <c r="K358" i="23"/>
  <c r="K363" i="23" s="1"/>
  <c r="K205" i="23"/>
  <c r="K210" i="23" s="1"/>
  <c r="K204" i="23"/>
  <c r="K209" i="23" s="1"/>
  <c r="K357" i="23"/>
  <c r="K356" i="23" s="1"/>
  <c r="O368" i="23"/>
  <c r="O373" i="23" s="1"/>
  <c r="O367" i="23"/>
  <c r="O372" i="23" s="1"/>
  <c r="O197" i="23"/>
  <c r="O202" i="23" s="1"/>
  <c r="O366" i="23"/>
  <c r="O371" i="23" s="1"/>
  <c r="O370" i="23" s="1"/>
  <c r="O196" i="23"/>
  <c r="O201" i="23" s="1"/>
  <c r="O195" i="23"/>
  <c r="O200" i="23" s="1"/>
  <c r="O199" i="23" s="1"/>
  <c r="M197" i="23"/>
  <c r="M202" i="23" s="1"/>
  <c r="M368" i="23"/>
  <c r="M196" i="23"/>
  <c r="M201" i="23" s="1"/>
  <c r="M367" i="23"/>
  <c r="M372" i="23" s="1"/>
  <c r="M366" i="23"/>
  <c r="M365" i="23" s="1"/>
  <c r="M195" i="23"/>
  <c r="M200" i="23" s="1"/>
  <c r="M199" i="23" s="1"/>
  <c r="K197" i="23"/>
  <c r="K202" i="23" s="1"/>
  <c r="K368" i="23"/>
  <c r="K373" i="23" s="1"/>
  <c r="K367" i="23"/>
  <c r="K372" i="23" s="1"/>
  <c r="K366" i="23"/>
  <c r="K371" i="23" s="1"/>
  <c r="K370" i="23" s="1"/>
  <c r="O377" i="23"/>
  <c r="O382" i="23" s="1"/>
  <c r="O376" i="23"/>
  <c r="O381" i="23" s="1"/>
  <c r="O375" i="23"/>
  <c r="O380" i="23" s="1"/>
  <c r="O379" i="23" s="1"/>
  <c r="M377" i="23"/>
  <c r="M382" i="23" s="1"/>
  <c r="M376" i="23"/>
  <c r="M381" i="23" s="1"/>
  <c r="M375" i="23"/>
  <c r="M380" i="23" s="1"/>
  <c r="M379" i="23" s="1"/>
  <c r="K377" i="23"/>
  <c r="K382" i="23" s="1"/>
  <c r="K376" i="23"/>
  <c r="K381" i="23" s="1"/>
  <c r="K196" i="23"/>
  <c r="K201" i="23" s="1"/>
  <c r="K195" i="23"/>
  <c r="K200" i="23" s="1"/>
  <c r="K375" i="23"/>
  <c r="K380" i="23" s="1"/>
  <c r="O386" i="23"/>
  <c r="O391" i="23" s="1"/>
  <c r="O385" i="23"/>
  <c r="O390" i="23" s="1"/>
  <c r="O188" i="23"/>
  <c r="O193" i="23" s="1"/>
  <c r="O186" i="23"/>
  <c r="O191" i="23" s="1"/>
  <c r="O190" i="23" s="1"/>
  <c r="O187" i="23"/>
  <c r="O192" i="23" s="1"/>
  <c r="O384" i="23"/>
  <c r="O389" i="23" s="1"/>
  <c r="M386" i="23"/>
  <c r="M385" i="23"/>
  <c r="M390" i="23" s="1"/>
  <c r="M188" i="23"/>
  <c r="M193" i="23" s="1"/>
  <c r="M384" i="23"/>
  <c r="M389" i="23" s="1"/>
  <c r="M187" i="23"/>
  <c r="M192" i="23" s="1"/>
  <c r="K386" i="23"/>
  <c r="K391" i="23" s="1"/>
  <c r="K384" i="23"/>
  <c r="K389" i="23" s="1"/>
  <c r="K385" i="23"/>
  <c r="K390" i="23" s="1"/>
  <c r="M186" i="23"/>
  <c r="M191" i="23" s="1"/>
  <c r="M190" i="23" s="1"/>
  <c r="K188" i="23"/>
  <c r="K193" i="23" s="1"/>
  <c r="K187" i="23"/>
  <c r="K192" i="23" s="1"/>
  <c r="K186" i="23"/>
  <c r="K191" i="23" s="1"/>
  <c r="O395" i="23"/>
  <c r="O400" i="23" s="1"/>
  <c r="O394" i="23"/>
  <c r="O399" i="23" s="1"/>
  <c r="O393" i="23"/>
  <c r="O398" i="23" s="1"/>
  <c r="O397" i="23" s="1"/>
  <c r="M395" i="23"/>
  <c r="M400" i="23" s="1"/>
  <c r="K395" i="23"/>
  <c r="K400" i="23" s="1"/>
  <c r="O179" i="23"/>
  <c r="O184" i="23" s="1"/>
  <c r="M394" i="23"/>
  <c r="M399" i="23" s="1"/>
  <c r="M393" i="23"/>
  <c r="M398" i="23" s="1"/>
  <c r="M397" i="23" s="1"/>
  <c r="O178" i="23"/>
  <c r="O183" i="23" s="1"/>
  <c r="O177" i="23"/>
  <c r="O182" i="23" s="1"/>
  <c r="O181" i="23" s="1"/>
  <c r="K394" i="23"/>
  <c r="K393" i="23"/>
  <c r="K392" i="23" s="1"/>
  <c r="M179" i="23"/>
  <c r="M184" i="23" s="1"/>
  <c r="M178" i="23"/>
  <c r="M183" i="23" s="1"/>
  <c r="O404" i="23"/>
  <c r="O409" i="23" s="1"/>
  <c r="M177" i="23"/>
  <c r="M182" i="23" s="1"/>
  <c r="M181" i="23" s="1"/>
  <c r="K177" i="23"/>
  <c r="K176" i="23" s="1"/>
  <c r="O403" i="23"/>
  <c r="O408" i="23" s="1"/>
  <c r="O402" i="23"/>
  <c r="O407" i="23" s="1"/>
  <c r="K179" i="23"/>
  <c r="K184" i="23" s="1"/>
  <c r="M404" i="23"/>
  <c r="M409" i="23" s="1"/>
  <c r="M403" i="23"/>
  <c r="M408" i="23" s="1"/>
  <c r="M402" i="23"/>
  <c r="M407" i="23" s="1"/>
  <c r="K178" i="23"/>
  <c r="K404" i="23"/>
  <c r="K409" i="23" s="1"/>
  <c r="K403" i="23"/>
  <c r="K408" i="23" s="1"/>
  <c r="K402" i="23"/>
  <c r="K407" i="23" s="1"/>
  <c r="O169" i="23"/>
  <c r="O174" i="23" s="1"/>
  <c r="O170" i="23"/>
  <c r="O175" i="23" s="1"/>
  <c r="O168" i="23"/>
  <c r="O173" i="23" s="1"/>
  <c r="O172" i="23" s="1"/>
  <c r="M170" i="23"/>
  <c r="M175" i="23" s="1"/>
  <c r="M168" i="23"/>
  <c r="M173" i="23" s="1"/>
  <c r="M172" i="23" s="1"/>
  <c r="M169" i="23"/>
  <c r="M174" i="23" s="1"/>
  <c r="K170" i="23"/>
  <c r="O413" i="23"/>
  <c r="O418" i="23" s="1"/>
  <c r="K413" i="23"/>
  <c r="M413" i="23"/>
  <c r="M418" i="23" s="1"/>
  <c r="O412" i="23"/>
  <c r="O417" i="23" s="1"/>
  <c r="O411" i="23"/>
  <c r="O416" i="23" s="1"/>
  <c r="M412" i="23"/>
  <c r="M417" i="23" s="1"/>
  <c r="K412" i="23"/>
  <c r="K417" i="23" s="1"/>
  <c r="K411" i="23"/>
  <c r="K416" i="23" s="1"/>
  <c r="O422" i="23"/>
  <c r="O427" i="23" s="1"/>
  <c r="O421" i="23"/>
  <c r="O426" i="23" s="1"/>
  <c r="O420" i="23"/>
  <c r="O425" i="23" s="1"/>
  <c r="M422" i="23"/>
  <c r="M427" i="23" s="1"/>
  <c r="M421" i="23"/>
  <c r="M426" i="23" s="1"/>
  <c r="M420" i="23"/>
  <c r="M425" i="23" s="1"/>
  <c r="M424" i="23" s="1"/>
  <c r="K422" i="23"/>
  <c r="K427" i="23" s="1"/>
  <c r="K421" i="23"/>
  <c r="K426" i="23" s="1"/>
  <c r="K420" i="23"/>
  <c r="K419" i="23" s="1"/>
  <c r="O431" i="23"/>
  <c r="O436" i="23" s="1"/>
  <c r="O430" i="23"/>
  <c r="O435" i="23" s="1"/>
  <c r="O429" i="23"/>
  <c r="O434" i="23" s="1"/>
  <c r="M431" i="23"/>
  <c r="M436" i="23" s="1"/>
  <c r="M430" i="23"/>
  <c r="M435" i="23" s="1"/>
  <c r="M429" i="23"/>
  <c r="M434" i="23" s="1"/>
  <c r="K431" i="23"/>
  <c r="K436" i="23" s="1"/>
  <c r="K430" i="23"/>
  <c r="K435" i="23" s="1"/>
  <c r="K429" i="23"/>
  <c r="K434" i="23" s="1"/>
  <c r="O440" i="23"/>
  <c r="O445" i="23" s="1"/>
  <c r="O439" i="23"/>
  <c r="O444" i="23" s="1"/>
  <c r="K439" i="23"/>
  <c r="K444" i="23" s="1"/>
  <c r="M439" i="23"/>
  <c r="M444" i="23" s="1"/>
  <c r="O438" i="23"/>
  <c r="O443" i="23" s="1"/>
  <c r="M440" i="23"/>
  <c r="M445" i="23" s="1"/>
  <c r="M438" i="23"/>
  <c r="M443" i="23" s="1"/>
  <c r="K440" i="23"/>
  <c r="K445" i="23" s="1"/>
  <c r="K169" i="23"/>
  <c r="K174" i="23" s="1"/>
  <c r="K168" i="23"/>
  <c r="K167" i="23" s="1"/>
  <c r="K438" i="23"/>
  <c r="K443" i="23" s="1"/>
  <c r="O449" i="23"/>
  <c r="O454" i="23" s="1"/>
  <c r="O448" i="23"/>
  <c r="O453" i="23" s="1"/>
  <c r="O447" i="23"/>
  <c r="O446" i="23" s="1"/>
  <c r="M449" i="23"/>
  <c r="M454" i="23" s="1"/>
  <c r="M448" i="23"/>
  <c r="M453" i="23" s="1"/>
  <c r="M447" i="23"/>
  <c r="M446" i="23" s="1"/>
  <c r="K449" i="23"/>
  <c r="K454" i="23" s="1"/>
  <c r="O161" i="23"/>
  <c r="O166" i="23" s="1"/>
  <c r="K448" i="23"/>
  <c r="K453" i="23" s="1"/>
  <c r="O160" i="23"/>
  <c r="O165" i="23" s="1"/>
  <c r="O159" i="23"/>
  <c r="O164" i="23" s="1"/>
  <c r="O163" i="23" s="1"/>
  <c r="K447" i="23"/>
  <c r="K446" i="23" s="1"/>
  <c r="M161" i="23"/>
  <c r="M166" i="23" s="1"/>
  <c r="M160" i="23"/>
  <c r="M165" i="23" s="1"/>
  <c r="M159" i="23"/>
  <c r="M158" i="23" s="1"/>
  <c r="O458" i="23"/>
  <c r="O463" i="23" s="1"/>
  <c r="K161" i="23"/>
  <c r="K166" i="23" s="1"/>
  <c r="O457" i="23"/>
  <c r="O462" i="23" s="1"/>
  <c r="K160" i="23"/>
  <c r="K165" i="23" s="1"/>
  <c r="K159" i="23"/>
  <c r="K158" i="23" s="1"/>
  <c r="O456" i="23"/>
  <c r="O461" i="23" s="1"/>
  <c r="O460" i="23" s="1"/>
  <c r="M458" i="23"/>
  <c r="M463" i="23" s="1"/>
  <c r="M457" i="23"/>
  <c r="M462" i="23" s="1"/>
  <c r="M456" i="23"/>
  <c r="M461" i="23" s="1"/>
  <c r="M460" i="23" s="1"/>
  <c r="K458" i="23"/>
  <c r="K463" i="23" s="1"/>
  <c r="K457" i="23"/>
  <c r="K462" i="23" s="1"/>
  <c r="K456" i="23"/>
  <c r="K455" i="23" s="1"/>
  <c r="O467" i="23"/>
  <c r="O472" i="23" s="1"/>
  <c r="O466" i="23"/>
  <c r="O471" i="23" s="1"/>
  <c r="O465" i="23"/>
  <c r="O470" i="23" s="1"/>
  <c r="M467" i="23"/>
  <c r="M472" i="23" s="1"/>
  <c r="M466" i="23"/>
  <c r="M471" i="23" s="1"/>
  <c r="M465" i="23"/>
  <c r="M470" i="23" s="1"/>
  <c r="M469" i="23" s="1"/>
  <c r="K467" i="23"/>
  <c r="K472" i="23" s="1"/>
  <c r="K466" i="23"/>
  <c r="K471" i="23" s="1"/>
  <c r="K465" i="23"/>
  <c r="K470" i="23" s="1"/>
  <c r="K469" i="23" s="1"/>
  <c r="O476" i="23"/>
  <c r="O481" i="23" s="1"/>
  <c r="O475" i="23"/>
  <c r="O480" i="23" s="1"/>
  <c r="O474" i="23"/>
  <c r="O473" i="23" s="1"/>
  <c r="M476" i="23"/>
  <c r="M481" i="23" s="1"/>
  <c r="M475" i="23"/>
  <c r="M480" i="23" s="1"/>
  <c r="M474" i="23"/>
  <c r="M479" i="23" s="1"/>
  <c r="K476" i="23"/>
  <c r="K481" i="23" s="1"/>
  <c r="K475" i="23"/>
  <c r="K474" i="23"/>
  <c r="K479" i="23" s="1"/>
  <c r="K478" i="23" s="1"/>
  <c r="O485" i="23"/>
  <c r="O490" i="23" s="1"/>
  <c r="O484" i="23"/>
  <c r="O489" i="23" s="1"/>
  <c r="O483" i="23"/>
  <c r="O488" i="23" s="1"/>
  <c r="O487" i="23" s="1"/>
  <c r="M485" i="23"/>
  <c r="M490" i="23" s="1"/>
  <c r="M484" i="23"/>
  <c r="M489" i="23" s="1"/>
  <c r="M483" i="23"/>
  <c r="M488" i="23" s="1"/>
  <c r="M487" i="23" s="1"/>
  <c r="K485" i="23"/>
  <c r="K490" i="23" s="1"/>
  <c r="K484" i="23"/>
  <c r="K489" i="23" s="1"/>
  <c r="K483" i="23"/>
  <c r="K488" i="23" s="1"/>
  <c r="O494" i="23"/>
  <c r="O499" i="23" s="1"/>
  <c r="O493" i="23"/>
  <c r="O498" i="23" s="1"/>
  <c r="O492" i="23"/>
  <c r="O497" i="23" s="1"/>
  <c r="O496" i="23" s="1"/>
  <c r="M494" i="23"/>
  <c r="M499" i="23" s="1"/>
  <c r="M493" i="23"/>
  <c r="M498" i="23" s="1"/>
  <c r="M492" i="23"/>
  <c r="M497" i="23" s="1"/>
  <c r="M496" i="23" s="1"/>
  <c r="K494" i="23"/>
  <c r="K499" i="23" s="1"/>
  <c r="O152" i="23"/>
  <c r="O157" i="23" s="1"/>
  <c r="K493" i="23"/>
  <c r="K498" i="23" s="1"/>
  <c r="K492" i="23"/>
  <c r="K497" i="23" s="1"/>
  <c r="O151" i="23"/>
  <c r="O156" i="23" s="1"/>
  <c r="O150" i="23"/>
  <c r="O149" i="23" s="1"/>
  <c r="O503" i="23"/>
  <c r="O508" i="23" s="1"/>
  <c r="O502" i="23"/>
  <c r="O507" i="23" s="1"/>
  <c r="K502" i="23"/>
  <c r="K507" i="23" s="1"/>
  <c r="M502" i="23"/>
  <c r="M507" i="23" s="1"/>
  <c r="M152" i="23"/>
  <c r="M157" i="23" s="1"/>
  <c r="O501" i="23"/>
  <c r="O506" i="23" s="1"/>
  <c r="O505" i="23" s="1"/>
  <c r="M151" i="23"/>
  <c r="M156" i="23" s="1"/>
  <c r="M503" i="23"/>
  <c r="M508" i="23" s="1"/>
  <c r="M150" i="23"/>
  <c r="M155" i="23" s="1"/>
  <c r="M501" i="23"/>
  <c r="M506" i="23" s="1"/>
  <c r="M505" i="23" s="1"/>
  <c r="K152" i="23"/>
  <c r="K157" i="23" s="1"/>
  <c r="K503" i="23"/>
  <c r="K508" i="23" s="1"/>
  <c r="K501" i="23"/>
  <c r="K500" i="23" s="1"/>
  <c r="K151" i="23"/>
  <c r="K156" i="23" s="1"/>
  <c r="K150" i="23"/>
  <c r="K155" i="23" s="1"/>
  <c r="K154" i="23" s="1"/>
  <c r="O512" i="23"/>
  <c r="O517" i="23" s="1"/>
  <c r="O511" i="23"/>
  <c r="O516" i="23" s="1"/>
  <c r="O510" i="23"/>
  <c r="O515" i="23" s="1"/>
  <c r="O514" i="23" s="1"/>
  <c r="M512" i="23"/>
  <c r="M517" i="23" s="1"/>
  <c r="M511" i="23"/>
  <c r="M516" i="23" s="1"/>
  <c r="M510" i="23"/>
  <c r="M515" i="23" s="1"/>
  <c r="M514" i="23" s="1"/>
  <c r="K512" i="23"/>
  <c r="K517" i="23" s="1"/>
  <c r="K511" i="23"/>
  <c r="K516" i="23" s="1"/>
  <c r="K510" i="23"/>
  <c r="K515" i="23" s="1"/>
  <c r="K514" i="23" s="1"/>
  <c r="O143" i="23"/>
  <c r="O148" i="23" s="1"/>
  <c r="O521" i="23"/>
  <c r="O526" i="23" s="1"/>
  <c r="O142" i="23"/>
  <c r="O147" i="23" s="1"/>
  <c r="K142" i="23"/>
  <c r="K147" i="23" s="1"/>
  <c r="M142" i="23"/>
  <c r="M147" i="23" s="1"/>
  <c r="O520" i="23"/>
  <c r="O525" i="23" s="1"/>
  <c r="O519" i="23"/>
  <c r="O524" i="23" s="1"/>
  <c r="O523" i="23" s="1"/>
  <c r="O141" i="23"/>
  <c r="O146" i="23" s="1"/>
  <c r="O145" i="23" s="1"/>
  <c r="K141" i="23"/>
  <c r="K140" i="23" s="1"/>
  <c r="M141" i="23"/>
  <c r="M146" i="23" s="1"/>
  <c r="M145" i="23" s="1"/>
  <c r="K143" i="23"/>
  <c r="K148" i="23" s="1"/>
  <c r="M143" i="23"/>
  <c r="M148" i="23" s="1"/>
  <c r="M521" i="23"/>
  <c r="M526" i="23" s="1"/>
  <c r="K521" i="23"/>
  <c r="K526" i="23" s="1"/>
  <c r="M520" i="23"/>
  <c r="M519" i="23"/>
  <c r="M524" i="23" s="1"/>
  <c r="M523" i="23" s="1"/>
  <c r="K520" i="23"/>
  <c r="K525" i="23" s="1"/>
  <c r="K519" i="23"/>
  <c r="O530" i="23"/>
  <c r="O535" i="23" s="1"/>
  <c r="O529" i="23"/>
  <c r="O534" i="23" s="1"/>
  <c r="O528" i="23"/>
  <c r="O527" i="23" s="1"/>
  <c r="M530" i="23"/>
  <c r="M535" i="23" s="1"/>
  <c r="M529" i="23"/>
  <c r="M534" i="23" s="1"/>
  <c r="M528" i="23"/>
  <c r="M527" i="23" s="1"/>
  <c r="K530" i="23"/>
  <c r="K535" i="23" s="1"/>
  <c r="K529" i="23"/>
  <c r="K534" i="23" s="1"/>
  <c r="K528" i="23"/>
  <c r="K527" i="23" s="1"/>
  <c r="O539" i="23"/>
  <c r="O544" i="23" s="1"/>
  <c r="O537" i="23"/>
  <c r="O542" i="23" s="1"/>
  <c r="O541" i="23" s="1"/>
  <c r="O538" i="23"/>
  <c r="O543" i="23" s="1"/>
  <c r="O134" i="23"/>
  <c r="O139" i="23" s="1"/>
  <c r="O133" i="23"/>
  <c r="O138" i="23" s="1"/>
  <c r="K133" i="23"/>
  <c r="K138" i="23" s="1"/>
  <c r="M133" i="23"/>
  <c r="M138" i="23" s="1"/>
  <c r="M539" i="23"/>
  <c r="M544" i="23" s="1"/>
  <c r="M537" i="23"/>
  <c r="M538" i="23"/>
  <c r="M543" i="23" s="1"/>
  <c r="O132" i="23"/>
  <c r="O137" i="23" s="1"/>
  <c r="M134" i="23"/>
  <c r="M139" i="23" s="1"/>
  <c r="K134" i="23"/>
  <c r="K139" i="23" s="1"/>
  <c r="K539" i="23"/>
  <c r="K544" i="23" s="1"/>
  <c r="K538" i="23"/>
  <c r="K543" i="23" s="1"/>
  <c r="K537" i="23"/>
  <c r="K542" i="23" s="1"/>
  <c r="K541" i="23" s="1"/>
  <c r="M132" i="23"/>
  <c r="M137" i="23" s="1"/>
  <c r="M136" i="23" s="1"/>
  <c r="O548" i="23"/>
  <c r="O553" i="23" s="1"/>
  <c r="O547" i="23"/>
  <c r="O546" i="23"/>
  <c r="O545" i="23" s="1"/>
  <c r="M548" i="23"/>
  <c r="M553" i="23" s="1"/>
  <c r="M547" i="23"/>
  <c r="M552" i="23" s="1"/>
  <c r="K547" i="23"/>
  <c r="K552" i="23" s="1"/>
  <c r="M546" i="23"/>
  <c r="M545" i="23" s="1"/>
  <c r="K548" i="23"/>
  <c r="K553" i="23" s="1"/>
  <c r="K132" i="23"/>
  <c r="K137" i="23" s="1"/>
  <c r="K136" i="23" s="1"/>
  <c r="K546" i="23"/>
  <c r="K551" i="23" s="1"/>
  <c r="O125" i="23"/>
  <c r="O130" i="23" s="1"/>
  <c r="O124" i="23"/>
  <c r="O129" i="23" s="1"/>
  <c r="O123" i="23"/>
  <c r="O128" i="23" s="1"/>
  <c r="O127" i="23" s="1"/>
  <c r="O557" i="23"/>
  <c r="O562" i="23" s="1"/>
  <c r="O556" i="23"/>
  <c r="O561" i="23" s="1"/>
  <c r="M125" i="23"/>
  <c r="M130" i="23" s="1"/>
  <c r="O555" i="23"/>
  <c r="O560" i="23" s="1"/>
  <c r="O559" i="23" s="1"/>
  <c r="M124" i="23"/>
  <c r="M129" i="23" s="1"/>
  <c r="M557" i="23"/>
  <c r="M562" i="23" s="1"/>
  <c r="M556" i="23"/>
  <c r="M561" i="23" s="1"/>
  <c r="M123" i="23"/>
  <c r="M128" i="23" s="1"/>
  <c r="M127" i="23" s="1"/>
  <c r="M555" i="23"/>
  <c r="M560" i="23" s="1"/>
  <c r="K557" i="23"/>
  <c r="K562" i="23" s="1"/>
  <c r="K124" i="23"/>
  <c r="K129" i="23" s="1"/>
  <c r="K556" i="23"/>
  <c r="K125" i="23"/>
  <c r="K130" i="23" s="1"/>
  <c r="K555" i="23"/>
  <c r="K554" i="23" s="1"/>
  <c r="K123" i="23"/>
  <c r="K128" i="23" s="1"/>
  <c r="O116" i="23"/>
  <c r="O121" i="23" s="1"/>
  <c r="O115" i="23"/>
  <c r="O120" i="23" s="1"/>
  <c r="O114" i="23"/>
  <c r="O119" i="23" s="1"/>
  <c r="O118" i="23" s="1"/>
  <c r="M116" i="23"/>
  <c r="M121" i="23" s="1"/>
  <c r="M115" i="23"/>
  <c r="M120" i="23" s="1"/>
  <c r="M114" i="23"/>
  <c r="M119" i="23" s="1"/>
  <c r="M118" i="23" s="1"/>
  <c r="O566" i="23"/>
  <c r="O565" i="23"/>
  <c r="O570" i="23" s="1"/>
  <c r="O564" i="23"/>
  <c r="O569" i="23" s="1"/>
  <c r="O568" i="23" s="1"/>
  <c r="O107" i="23"/>
  <c r="O112" i="23" s="1"/>
  <c r="O106" i="23"/>
  <c r="O111" i="23" s="1"/>
  <c r="M566" i="23"/>
  <c r="M571" i="23" s="1"/>
  <c r="O105" i="23"/>
  <c r="O104" i="23" s="1"/>
  <c r="M565" i="23"/>
  <c r="M570" i="23" s="1"/>
  <c r="M107" i="23"/>
  <c r="M112" i="23" s="1"/>
  <c r="M564" i="23"/>
  <c r="M569" i="23" s="1"/>
  <c r="M568" i="23" s="1"/>
  <c r="M106" i="23"/>
  <c r="M111" i="23" s="1"/>
  <c r="M105" i="23"/>
  <c r="M110" i="23" s="1"/>
  <c r="K566" i="23"/>
  <c r="K571" i="23" s="1"/>
  <c r="K565" i="23"/>
  <c r="K570" i="23" s="1"/>
  <c r="K107" i="23"/>
  <c r="K112" i="23" s="1"/>
  <c r="K564" i="23"/>
  <c r="K106" i="23"/>
  <c r="K111" i="23" s="1"/>
  <c r="K105" i="23"/>
  <c r="K110" i="23" s="1"/>
  <c r="K109" i="23" s="1"/>
  <c r="O98" i="23"/>
  <c r="O103" i="23" s="1"/>
  <c r="O97" i="23"/>
  <c r="O102" i="23" s="1"/>
  <c r="O96" i="23"/>
  <c r="O101" i="23" s="1"/>
  <c r="O100" i="23" s="1"/>
  <c r="M98" i="23"/>
  <c r="M103" i="23" s="1"/>
  <c r="M97" i="23"/>
  <c r="M102" i="23" s="1"/>
  <c r="M96" i="23"/>
  <c r="M101" i="23" s="1"/>
  <c r="M100" i="23" s="1"/>
  <c r="K98" i="23"/>
  <c r="K103" i="23" s="1"/>
  <c r="K97" i="23"/>
  <c r="K102" i="23" s="1"/>
  <c r="K96" i="23"/>
  <c r="K101" i="23" s="1"/>
  <c r="K100" i="23" s="1"/>
  <c r="M42" i="23"/>
  <c r="M47" i="23" s="1"/>
  <c r="O89" i="23"/>
  <c r="O94" i="23" s="1"/>
  <c r="O88" i="23"/>
  <c r="O93" i="23" s="1"/>
  <c r="O87" i="23"/>
  <c r="O92" i="23" s="1"/>
  <c r="O91" i="23" s="1"/>
  <c r="M89" i="23"/>
  <c r="M94" i="23" s="1"/>
  <c r="M88" i="23"/>
  <c r="M93" i="23" s="1"/>
  <c r="K88" i="23"/>
  <c r="K93" i="23" s="1"/>
  <c r="M87" i="23"/>
  <c r="M92" i="23" s="1"/>
  <c r="K89" i="23"/>
  <c r="K94" i="23" s="1"/>
  <c r="K87" i="23"/>
  <c r="K86" i="23" s="1"/>
  <c r="O80" i="23"/>
  <c r="O85" i="23" s="1"/>
  <c r="O79" i="23"/>
  <c r="O84" i="23" s="1"/>
  <c r="M80" i="23"/>
  <c r="M79" i="23"/>
  <c r="K80" i="23"/>
  <c r="K85" i="23" s="1"/>
  <c r="K79" i="23"/>
  <c r="K84" i="23" s="1"/>
  <c r="O78" i="23"/>
  <c r="W107" i="10"/>
  <c r="W108" i="10" s="1"/>
  <c r="M78" i="23"/>
  <c r="M83" i="23" s="1"/>
  <c r="K78" i="23"/>
  <c r="K83" i="23" s="1"/>
  <c r="X116" i="10"/>
  <c r="X117" i="10" s="1"/>
  <c r="Y116" i="10"/>
  <c r="Y117" i="10" s="1"/>
  <c r="Z116" i="10"/>
  <c r="Z117" i="10" s="1"/>
  <c r="AA116" i="10"/>
  <c r="AA117" i="10" s="1"/>
  <c r="AB116" i="10"/>
  <c r="AB117" i="10" s="1"/>
  <c r="AC116" i="10"/>
  <c r="AC117" i="10" s="1"/>
  <c r="AD116" i="10"/>
  <c r="AD117" i="10" s="1"/>
  <c r="X113" i="10"/>
  <c r="X114" i="10" s="1"/>
  <c r="Y113" i="10"/>
  <c r="Y114" i="10" s="1"/>
  <c r="Z113" i="10"/>
  <c r="Z114" i="10" s="1"/>
  <c r="AA113" i="10"/>
  <c r="AA114" i="10" s="1"/>
  <c r="AB113" i="10"/>
  <c r="AB114" i="10" s="1"/>
  <c r="AC113" i="10"/>
  <c r="AC114" i="10" s="1"/>
  <c r="AD113" i="10"/>
  <c r="AD114" i="10" s="1"/>
  <c r="X110" i="10"/>
  <c r="X111" i="10" s="1"/>
  <c r="Y110" i="10"/>
  <c r="Y111" i="10" s="1"/>
  <c r="Z110" i="10"/>
  <c r="Z111" i="10" s="1"/>
  <c r="AA110" i="10"/>
  <c r="AA111" i="10" s="1"/>
  <c r="AB110" i="10"/>
  <c r="AB111" i="10" s="1"/>
  <c r="AC110" i="10"/>
  <c r="AC111" i="10" s="1"/>
  <c r="AD110" i="10"/>
  <c r="AD111" i="10" s="1"/>
  <c r="W116" i="10"/>
  <c r="W117" i="10" s="1"/>
  <c r="W113" i="10"/>
  <c r="W114" i="10" s="1"/>
  <c r="W110" i="10"/>
  <c r="W111" i="10" s="1"/>
  <c r="P571" i="23"/>
  <c r="N571" i="23"/>
  <c r="L571" i="23"/>
  <c r="J571" i="23"/>
  <c r="P570" i="23"/>
  <c r="N570" i="23"/>
  <c r="L570" i="23"/>
  <c r="J570" i="23"/>
  <c r="P569" i="23"/>
  <c r="N569" i="23"/>
  <c r="L569" i="23"/>
  <c r="J569" i="23"/>
  <c r="P566" i="23"/>
  <c r="N566" i="23"/>
  <c r="L566" i="23"/>
  <c r="J566" i="23"/>
  <c r="P565" i="23"/>
  <c r="N565" i="23"/>
  <c r="L565" i="23"/>
  <c r="J565" i="23"/>
  <c r="P564" i="23"/>
  <c r="N564" i="23"/>
  <c r="L564" i="23"/>
  <c r="J564" i="23"/>
  <c r="P562" i="23"/>
  <c r="N562" i="23"/>
  <c r="L562" i="23"/>
  <c r="J562" i="23"/>
  <c r="P561" i="23"/>
  <c r="N561" i="23"/>
  <c r="L561" i="23"/>
  <c r="J561" i="23"/>
  <c r="P560" i="23"/>
  <c r="N560" i="23"/>
  <c r="L560" i="23"/>
  <c r="J560" i="23"/>
  <c r="P557" i="23"/>
  <c r="N557" i="23"/>
  <c r="L557" i="23"/>
  <c r="J557" i="23"/>
  <c r="P556" i="23"/>
  <c r="N556" i="23"/>
  <c r="L556" i="23"/>
  <c r="J556" i="23"/>
  <c r="P555" i="23"/>
  <c r="N555" i="23"/>
  <c r="L555" i="23"/>
  <c r="J555" i="23"/>
  <c r="P553" i="23"/>
  <c r="N553" i="23"/>
  <c r="L553" i="23"/>
  <c r="J553" i="23"/>
  <c r="P552" i="23"/>
  <c r="N552" i="23"/>
  <c r="L552" i="23"/>
  <c r="J552" i="23"/>
  <c r="P551" i="23"/>
  <c r="N551" i="23"/>
  <c r="L551" i="23"/>
  <c r="J551" i="23"/>
  <c r="P548" i="23"/>
  <c r="N548" i="23"/>
  <c r="L548" i="23"/>
  <c r="J548" i="23"/>
  <c r="P547" i="23"/>
  <c r="N547" i="23"/>
  <c r="L547" i="23"/>
  <c r="J547" i="23"/>
  <c r="P546" i="23"/>
  <c r="N546" i="23"/>
  <c r="L546" i="23"/>
  <c r="J546" i="23"/>
  <c r="X107" i="10"/>
  <c r="X108" i="10" s="1"/>
  <c r="Y107" i="10"/>
  <c r="Y108" i="10" s="1"/>
  <c r="Z107" i="10"/>
  <c r="Z108" i="10" s="1"/>
  <c r="AA107" i="10"/>
  <c r="AA108" i="10" s="1"/>
  <c r="AB107" i="10"/>
  <c r="AB108" i="10" s="1"/>
  <c r="AC107" i="10"/>
  <c r="AC108" i="10" s="1"/>
  <c r="AD107" i="10"/>
  <c r="AD108" i="10" s="1"/>
  <c r="P544" i="23"/>
  <c r="N544" i="23"/>
  <c r="L544" i="23"/>
  <c r="J544" i="23"/>
  <c r="P543" i="23"/>
  <c r="N543" i="23"/>
  <c r="L543" i="23"/>
  <c r="J543" i="23"/>
  <c r="P542" i="23"/>
  <c r="N542" i="23"/>
  <c r="L542" i="23"/>
  <c r="J542" i="23"/>
  <c r="P539" i="23"/>
  <c r="N539" i="23"/>
  <c r="L539" i="23"/>
  <c r="J539" i="23"/>
  <c r="P538" i="23"/>
  <c r="N538" i="23"/>
  <c r="L538" i="23"/>
  <c r="J538" i="23"/>
  <c r="P537" i="23"/>
  <c r="N537" i="23"/>
  <c r="L537" i="23"/>
  <c r="J537" i="23"/>
  <c r="P535" i="23"/>
  <c r="N535" i="23"/>
  <c r="L535" i="23"/>
  <c r="J535" i="23"/>
  <c r="P534" i="23"/>
  <c r="N534" i="23"/>
  <c r="L534" i="23"/>
  <c r="J534" i="23"/>
  <c r="P533" i="23"/>
  <c r="N533" i="23"/>
  <c r="L533" i="23"/>
  <c r="J533" i="23"/>
  <c r="P530" i="23"/>
  <c r="N530" i="23"/>
  <c r="L530" i="23"/>
  <c r="J530" i="23"/>
  <c r="P529" i="23"/>
  <c r="N529" i="23"/>
  <c r="L529" i="23"/>
  <c r="J529" i="23"/>
  <c r="P528" i="23"/>
  <c r="N528" i="23"/>
  <c r="L528" i="23"/>
  <c r="J528" i="23"/>
  <c r="P526" i="23"/>
  <c r="N526" i="23"/>
  <c r="L526" i="23"/>
  <c r="J526" i="23"/>
  <c r="P525" i="23"/>
  <c r="N525" i="23"/>
  <c r="L525" i="23"/>
  <c r="J525" i="23"/>
  <c r="P524" i="23"/>
  <c r="N524" i="23"/>
  <c r="L524" i="23"/>
  <c r="J524" i="23"/>
  <c r="P521" i="23"/>
  <c r="N521" i="23"/>
  <c r="L521" i="23"/>
  <c r="J521" i="23"/>
  <c r="P520" i="23"/>
  <c r="N520" i="23"/>
  <c r="L520" i="23"/>
  <c r="J520" i="23"/>
  <c r="P519" i="23"/>
  <c r="N519" i="23"/>
  <c r="L519" i="23"/>
  <c r="J519" i="23"/>
  <c r="P517" i="23"/>
  <c r="N517" i="23"/>
  <c r="L517" i="23"/>
  <c r="J517" i="23"/>
  <c r="P516" i="23"/>
  <c r="N516" i="23"/>
  <c r="L516" i="23"/>
  <c r="J516" i="23"/>
  <c r="P515" i="23"/>
  <c r="N515" i="23"/>
  <c r="L515" i="23"/>
  <c r="J515" i="23"/>
  <c r="P512" i="23"/>
  <c r="N512" i="23"/>
  <c r="L512" i="23"/>
  <c r="J512" i="23"/>
  <c r="P511" i="23"/>
  <c r="N511" i="23"/>
  <c r="L511" i="23"/>
  <c r="J511" i="23"/>
  <c r="P510" i="23"/>
  <c r="N510" i="23"/>
  <c r="L510" i="23"/>
  <c r="J510" i="23"/>
  <c r="P508" i="23"/>
  <c r="N508" i="23"/>
  <c r="L508" i="23"/>
  <c r="J508" i="23"/>
  <c r="P507" i="23"/>
  <c r="N507" i="23"/>
  <c r="L507" i="23"/>
  <c r="J507" i="23"/>
  <c r="P506" i="23"/>
  <c r="N506" i="23"/>
  <c r="L506" i="23"/>
  <c r="J506" i="23"/>
  <c r="P503" i="23"/>
  <c r="N503" i="23"/>
  <c r="L503" i="23"/>
  <c r="J503" i="23"/>
  <c r="P502" i="23"/>
  <c r="N502" i="23"/>
  <c r="L502" i="23"/>
  <c r="J502" i="23"/>
  <c r="P501" i="23"/>
  <c r="N501" i="23"/>
  <c r="L501" i="23"/>
  <c r="J501" i="23"/>
  <c r="P499" i="23"/>
  <c r="N499" i="23"/>
  <c r="L499" i="23"/>
  <c r="J499" i="23"/>
  <c r="P498" i="23"/>
  <c r="N498" i="23"/>
  <c r="L498" i="23"/>
  <c r="J498" i="23"/>
  <c r="P497" i="23"/>
  <c r="N497" i="23"/>
  <c r="L497" i="23"/>
  <c r="J497" i="23"/>
  <c r="P494" i="23"/>
  <c r="N494" i="23"/>
  <c r="L494" i="23"/>
  <c r="J494" i="23"/>
  <c r="P493" i="23"/>
  <c r="N493" i="23"/>
  <c r="L493" i="23"/>
  <c r="J493" i="23"/>
  <c r="P492" i="23"/>
  <c r="N492" i="23"/>
  <c r="L492" i="23"/>
  <c r="J492" i="23"/>
  <c r="P490" i="23"/>
  <c r="N490" i="23"/>
  <c r="L490" i="23"/>
  <c r="J490" i="23"/>
  <c r="P489" i="23"/>
  <c r="N489" i="23"/>
  <c r="L489" i="23"/>
  <c r="J489" i="23"/>
  <c r="P488" i="23"/>
  <c r="N488" i="23"/>
  <c r="L488" i="23"/>
  <c r="J488" i="23"/>
  <c r="P485" i="23"/>
  <c r="N485" i="23"/>
  <c r="L485" i="23"/>
  <c r="J485" i="23"/>
  <c r="P484" i="23"/>
  <c r="N484" i="23"/>
  <c r="L484" i="23"/>
  <c r="J484" i="23"/>
  <c r="P483" i="23"/>
  <c r="N483" i="23"/>
  <c r="L483" i="23"/>
  <c r="J483" i="23"/>
  <c r="X101" i="10"/>
  <c r="X102" i="10" s="1"/>
  <c r="Z101" i="10"/>
  <c r="Z102" i="10" s="1"/>
  <c r="AA101" i="10"/>
  <c r="AA102" i="10" s="1"/>
  <c r="AB101" i="10"/>
  <c r="AB102" i="10" s="1"/>
  <c r="AC101" i="10"/>
  <c r="AC102" i="10" s="1"/>
  <c r="AD101" i="10"/>
  <c r="AD102" i="10" s="1"/>
  <c r="W101" i="10"/>
  <c r="W102" i="10" s="1"/>
  <c r="P481" i="23"/>
  <c r="N481" i="23"/>
  <c r="L481" i="23"/>
  <c r="J481" i="23"/>
  <c r="P480" i="23"/>
  <c r="N480" i="23"/>
  <c r="L480" i="23"/>
  <c r="J480" i="23"/>
  <c r="P479" i="23"/>
  <c r="N479" i="23"/>
  <c r="L479" i="23"/>
  <c r="J479" i="23"/>
  <c r="P476" i="23"/>
  <c r="N476" i="23"/>
  <c r="L476" i="23"/>
  <c r="J476" i="23"/>
  <c r="P475" i="23"/>
  <c r="N475" i="23"/>
  <c r="L475" i="23"/>
  <c r="J475" i="23"/>
  <c r="P474" i="23"/>
  <c r="N474" i="23"/>
  <c r="L474" i="23"/>
  <c r="J474" i="23"/>
  <c r="P472" i="23"/>
  <c r="N472" i="23"/>
  <c r="L472" i="23"/>
  <c r="J472" i="23"/>
  <c r="P471" i="23"/>
  <c r="N471" i="23"/>
  <c r="L471" i="23"/>
  <c r="J471" i="23"/>
  <c r="P470" i="23"/>
  <c r="N470" i="23"/>
  <c r="L470" i="23"/>
  <c r="J470" i="23"/>
  <c r="P467" i="23"/>
  <c r="N467" i="23"/>
  <c r="L467" i="23"/>
  <c r="J467" i="23"/>
  <c r="P466" i="23"/>
  <c r="N466" i="23"/>
  <c r="L466" i="23"/>
  <c r="J466" i="23"/>
  <c r="P465" i="23"/>
  <c r="N465" i="23"/>
  <c r="L465" i="23"/>
  <c r="J465" i="23"/>
  <c r="P463" i="23"/>
  <c r="N463" i="23"/>
  <c r="L463" i="23"/>
  <c r="J463" i="23"/>
  <c r="P462" i="23"/>
  <c r="N462" i="23"/>
  <c r="L462" i="23"/>
  <c r="J462" i="23"/>
  <c r="P461" i="23"/>
  <c r="N461" i="23"/>
  <c r="L461" i="23"/>
  <c r="J461" i="23"/>
  <c r="P458" i="23"/>
  <c r="N458" i="23"/>
  <c r="L458" i="23"/>
  <c r="J458" i="23"/>
  <c r="P457" i="23"/>
  <c r="N457" i="23"/>
  <c r="L457" i="23"/>
  <c r="J457" i="23"/>
  <c r="P456" i="23"/>
  <c r="N456" i="23"/>
  <c r="L456" i="23"/>
  <c r="J456" i="23"/>
  <c r="P454" i="23"/>
  <c r="N454" i="23"/>
  <c r="L454" i="23"/>
  <c r="J454" i="23"/>
  <c r="P453" i="23"/>
  <c r="N453" i="23"/>
  <c r="L453" i="23"/>
  <c r="J453" i="23"/>
  <c r="P452" i="23"/>
  <c r="N452" i="23"/>
  <c r="L452" i="23"/>
  <c r="J452" i="23"/>
  <c r="P449" i="23"/>
  <c r="N449" i="23"/>
  <c r="L449" i="23"/>
  <c r="J449" i="23"/>
  <c r="P448" i="23"/>
  <c r="N448" i="23"/>
  <c r="L448" i="23"/>
  <c r="J448" i="23"/>
  <c r="P447" i="23"/>
  <c r="N447" i="23"/>
  <c r="L447" i="23"/>
  <c r="J447" i="23"/>
  <c r="P445" i="23"/>
  <c r="N445" i="23"/>
  <c r="L445" i="23"/>
  <c r="J445" i="23"/>
  <c r="P444" i="23"/>
  <c r="N444" i="23"/>
  <c r="L444" i="23"/>
  <c r="J444" i="23"/>
  <c r="P443" i="23"/>
  <c r="N443" i="23"/>
  <c r="L443" i="23"/>
  <c r="J443" i="23"/>
  <c r="P440" i="23"/>
  <c r="N440" i="23"/>
  <c r="L440" i="23"/>
  <c r="J440" i="23"/>
  <c r="P439" i="23"/>
  <c r="N439" i="23"/>
  <c r="L439" i="23"/>
  <c r="J439" i="23"/>
  <c r="P438" i="23"/>
  <c r="N438" i="23"/>
  <c r="L438" i="23"/>
  <c r="J438" i="23"/>
  <c r="P436" i="23"/>
  <c r="N436" i="23"/>
  <c r="L436" i="23"/>
  <c r="J436" i="23"/>
  <c r="P435" i="23"/>
  <c r="N435" i="23"/>
  <c r="L435" i="23"/>
  <c r="J435" i="23"/>
  <c r="P434" i="23"/>
  <c r="N434" i="23"/>
  <c r="L434" i="23"/>
  <c r="J434" i="23"/>
  <c r="P431" i="23"/>
  <c r="N431" i="23"/>
  <c r="L431" i="23"/>
  <c r="J431" i="23"/>
  <c r="P430" i="23"/>
  <c r="N430" i="23"/>
  <c r="L430" i="23"/>
  <c r="J430" i="23"/>
  <c r="P429" i="23"/>
  <c r="N429" i="23"/>
  <c r="L429" i="23"/>
  <c r="J429" i="23"/>
  <c r="P427" i="23"/>
  <c r="N427" i="23"/>
  <c r="L427" i="23"/>
  <c r="J427" i="23"/>
  <c r="P426" i="23"/>
  <c r="N426" i="23"/>
  <c r="L426" i="23"/>
  <c r="J426" i="23"/>
  <c r="P425" i="23"/>
  <c r="N425" i="23"/>
  <c r="L425" i="23"/>
  <c r="J425" i="23"/>
  <c r="P422" i="23"/>
  <c r="N422" i="23"/>
  <c r="L422" i="23"/>
  <c r="J422" i="23"/>
  <c r="P421" i="23"/>
  <c r="N421" i="23"/>
  <c r="L421" i="23"/>
  <c r="J421" i="23"/>
  <c r="P420" i="23"/>
  <c r="N420" i="23"/>
  <c r="L420" i="23"/>
  <c r="J420" i="23"/>
  <c r="X98" i="10"/>
  <c r="X99" i="10" s="1"/>
  <c r="Y98" i="10"/>
  <c r="Y99" i="10" s="1"/>
  <c r="Z98" i="10"/>
  <c r="Z99" i="10" s="1"/>
  <c r="AA98" i="10"/>
  <c r="AA99" i="10" s="1"/>
  <c r="AB98" i="10"/>
  <c r="AB99" i="10" s="1"/>
  <c r="AC98" i="10"/>
  <c r="AC99" i="10" s="1"/>
  <c r="AD98" i="10"/>
  <c r="AD99" i="10" s="1"/>
  <c r="P418" i="23"/>
  <c r="N418" i="23"/>
  <c r="L418" i="23"/>
  <c r="J418" i="23"/>
  <c r="P417" i="23"/>
  <c r="N417" i="23"/>
  <c r="L417" i="23"/>
  <c r="J417" i="23"/>
  <c r="P416" i="23"/>
  <c r="N416" i="23"/>
  <c r="L416" i="23"/>
  <c r="J416" i="23"/>
  <c r="P413" i="23"/>
  <c r="N413" i="23"/>
  <c r="L413" i="23"/>
  <c r="J413" i="23"/>
  <c r="P412" i="23"/>
  <c r="N412" i="23"/>
  <c r="L412" i="23"/>
  <c r="J412" i="23"/>
  <c r="P411" i="23"/>
  <c r="N411" i="23"/>
  <c r="L411" i="23"/>
  <c r="J411" i="23"/>
  <c r="P409" i="23"/>
  <c r="N409" i="23"/>
  <c r="L409" i="23"/>
  <c r="J409" i="23"/>
  <c r="P408" i="23"/>
  <c r="N408" i="23"/>
  <c r="L408" i="23"/>
  <c r="J408" i="23"/>
  <c r="P407" i="23"/>
  <c r="N407" i="23"/>
  <c r="L407" i="23"/>
  <c r="J407" i="23"/>
  <c r="P404" i="23"/>
  <c r="N404" i="23"/>
  <c r="L404" i="23"/>
  <c r="J404" i="23"/>
  <c r="P403" i="23"/>
  <c r="N403" i="23"/>
  <c r="L403" i="23"/>
  <c r="J403" i="23"/>
  <c r="P402" i="23"/>
  <c r="N402" i="23"/>
  <c r="L402" i="23"/>
  <c r="J402" i="23"/>
  <c r="W98" i="10"/>
  <c r="W99" i="10" s="1"/>
  <c r="P400" i="23"/>
  <c r="N400" i="23"/>
  <c r="L400" i="23"/>
  <c r="J400" i="23"/>
  <c r="P399" i="23"/>
  <c r="N399" i="23"/>
  <c r="L399" i="23"/>
  <c r="J399" i="23"/>
  <c r="P398" i="23"/>
  <c r="N398" i="23"/>
  <c r="L398" i="23"/>
  <c r="J398" i="23"/>
  <c r="P395" i="23"/>
  <c r="N395" i="23"/>
  <c r="L395" i="23"/>
  <c r="J395" i="23"/>
  <c r="P394" i="23"/>
  <c r="N394" i="23"/>
  <c r="L394" i="23"/>
  <c r="J394" i="23"/>
  <c r="P393" i="23"/>
  <c r="N393" i="23"/>
  <c r="L393" i="23"/>
  <c r="J393" i="23"/>
  <c r="P391" i="23"/>
  <c r="N391" i="23"/>
  <c r="L391" i="23"/>
  <c r="J391" i="23"/>
  <c r="P390" i="23"/>
  <c r="N390" i="23"/>
  <c r="L390" i="23"/>
  <c r="J390" i="23"/>
  <c r="P389" i="23"/>
  <c r="N389" i="23"/>
  <c r="L389" i="23"/>
  <c r="J389" i="23"/>
  <c r="P386" i="23"/>
  <c r="N386" i="23"/>
  <c r="L386" i="23"/>
  <c r="J386" i="23"/>
  <c r="P385" i="23"/>
  <c r="N385" i="23"/>
  <c r="L385" i="23"/>
  <c r="J385" i="23"/>
  <c r="P384" i="23"/>
  <c r="N384" i="23"/>
  <c r="L384" i="23"/>
  <c r="J384" i="23"/>
  <c r="P382" i="23"/>
  <c r="N382" i="23"/>
  <c r="L382" i="23"/>
  <c r="J382" i="23"/>
  <c r="P381" i="23"/>
  <c r="N381" i="23"/>
  <c r="L381" i="23"/>
  <c r="J381" i="23"/>
  <c r="P380" i="23"/>
  <c r="N380" i="23"/>
  <c r="L380" i="23"/>
  <c r="J380" i="23"/>
  <c r="P377" i="23"/>
  <c r="N377" i="23"/>
  <c r="L377" i="23"/>
  <c r="J377" i="23"/>
  <c r="P376" i="23"/>
  <c r="N376" i="23"/>
  <c r="L376" i="23"/>
  <c r="J376" i="23"/>
  <c r="P375" i="23"/>
  <c r="N375" i="23"/>
  <c r="L375" i="23"/>
  <c r="J375" i="23"/>
  <c r="P373" i="23"/>
  <c r="N373" i="23"/>
  <c r="L373" i="23"/>
  <c r="J373" i="23"/>
  <c r="P372" i="23"/>
  <c r="N372" i="23"/>
  <c r="L372" i="23"/>
  <c r="J372" i="23"/>
  <c r="P371" i="23"/>
  <c r="N371" i="23"/>
  <c r="L371" i="23"/>
  <c r="J371" i="23"/>
  <c r="P368" i="23"/>
  <c r="N368" i="23"/>
  <c r="L368" i="23"/>
  <c r="J368" i="23"/>
  <c r="P367" i="23"/>
  <c r="N367" i="23"/>
  <c r="L367" i="23"/>
  <c r="J367" i="23"/>
  <c r="P366" i="23"/>
  <c r="N366" i="23"/>
  <c r="L366" i="23"/>
  <c r="J366" i="23"/>
  <c r="P364" i="23"/>
  <c r="N364" i="23"/>
  <c r="L364" i="23"/>
  <c r="J364" i="23"/>
  <c r="P363" i="23"/>
  <c r="N363" i="23"/>
  <c r="L363" i="23"/>
  <c r="J363" i="23"/>
  <c r="P362" i="23"/>
  <c r="N362" i="23"/>
  <c r="L362" i="23"/>
  <c r="J362" i="23"/>
  <c r="P359" i="23"/>
  <c r="N359" i="23"/>
  <c r="L359" i="23"/>
  <c r="J359" i="23"/>
  <c r="P358" i="23"/>
  <c r="N358" i="23"/>
  <c r="L358" i="23"/>
  <c r="J358" i="23"/>
  <c r="P357" i="23"/>
  <c r="N357" i="23"/>
  <c r="L357" i="23"/>
  <c r="J357" i="23"/>
  <c r="P355" i="23"/>
  <c r="N355" i="23"/>
  <c r="L355" i="23"/>
  <c r="J355" i="23"/>
  <c r="P354" i="23"/>
  <c r="N354" i="23"/>
  <c r="L354" i="23"/>
  <c r="J354" i="23"/>
  <c r="P353" i="23"/>
  <c r="N353" i="23"/>
  <c r="L353" i="23"/>
  <c r="J353" i="23"/>
  <c r="P350" i="23"/>
  <c r="N350" i="23"/>
  <c r="L350" i="23"/>
  <c r="J350" i="23"/>
  <c r="P349" i="23"/>
  <c r="N349" i="23"/>
  <c r="L349" i="23"/>
  <c r="J349" i="23"/>
  <c r="P348" i="23"/>
  <c r="N348" i="23"/>
  <c r="L348" i="23"/>
  <c r="J348" i="23"/>
  <c r="P346" i="23"/>
  <c r="N346" i="23"/>
  <c r="L346" i="23"/>
  <c r="J346" i="23"/>
  <c r="P345" i="23"/>
  <c r="N345" i="23"/>
  <c r="L345" i="23"/>
  <c r="J345" i="23"/>
  <c r="P344" i="23"/>
  <c r="N344" i="23"/>
  <c r="L344" i="23"/>
  <c r="J344" i="23"/>
  <c r="P341" i="23"/>
  <c r="N341" i="23"/>
  <c r="L341" i="23"/>
  <c r="J341" i="23"/>
  <c r="P340" i="23"/>
  <c r="N340" i="23"/>
  <c r="L340" i="23"/>
  <c r="J340" i="23"/>
  <c r="P339" i="23"/>
  <c r="N339" i="23"/>
  <c r="L339" i="23"/>
  <c r="J339" i="23"/>
  <c r="P337" i="23"/>
  <c r="N337" i="23"/>
  <c r="L337" i="23"/>
  <c r="J337" i="23"/>
  <c r="P336" i="23"/>
  <c r="N336" i="23"/>
  <c r="L336" i="23"/>
  <c r="J336" i="23"/>
  <c r="P335" i="23"/>
  <c r="N335" i="23"/>
  <c r="L335" i="23"/>
  <c r="J335" i="23"/>
  <c r="P332" i="23"/>
  <c r="N332" i="23"/>
  <c r="L332" i="23"/>
  <c r="J332" i="23"/>
  <c r="P331" i="23"/>
  <c r="N331" i="23"/>
  <c r="L331" i="23"/>
  <c r="J331" i="23"/>
  <c r="P330" i="23"/>
  <c r="N330" i="23"/>
  <c r="L330" i="23"/>
  <c r="J330" i="23"/>
  <c r="P328" i="23"/>
  <c r="N328" i="23"/>
  <c r="L328" i="23"/>
  <c r="J328" i="23"/>
  <c r="P327" i="23"/>
  <c r="N327" i="23"/>
  <c r="L327" i="23"/>
  <c r="J327" i="23"/>
  <c r="P326" i="23"/>
  <c r="N326" i="23"/>
  <c r="L326" i="23"/>
  <c r="J326" i="23"/>
  <c r="P323" i="23"/>
  <c r="N323" i="23"/>
  <c r="L323" i="23"/>
  <c r="J323" i="23"/>
  <c r="P322" i="23"/>
  <c r="N322" i="23"/>
  <c r="L322" i="23"/>
  <c r="J322" i="23"/>
  <c r="P321" i="23"/>
  <c r="N321" i="23"/>
  <c r="L321" i="23"/>
  <c r="J321" i="23"/>
  <c r="P319" i="23"/>
  <c r="N319" i="23"/>
  <c r="L319" i="23"/>
  <c r="J319" i="23"/>
  <c r="P318" i="23"/>
  <c r="N318" i="23"/>
  <c r="L318" i="23"/>
  <c r="J318" i="23"/>
  <c r="P317" i="23"/>
  <c r="N317" i="23"/>
  <c r="L317" i="23"/>
  <c r="J317" i="23"/>
  <c r="P314" i="23"/>
  <c r="N314" i="23"/>
  <c r="L314" i="23"/>
  <c r="J314" i="23"/>
  <c r="P313" i="23"/>
  <c r="N313" i="23"/>
  <c r="L313" i="23"/>
  <c r="J313" i="23"/>
  <c r="P312" i="23"/>
  <c r="N312" i="23"/>
  <c r="L312" i="23"/>
  <c r="J312" i="23"/>
  <c r="P310" i="23"/>
  <c r="N310" i="23"/>
  <c r="L310" i="23"/>
  <c r="J310" i="23"/>
  <c r="P309" i="23"/>
  <c r="N309" i="23"/>
  <c r="L309" i="23"/>
  <c r="J309" i="23"/>
  <c r="P308" i="23"/>
  <c r="N308" i="23"/>
  <c r="L308" i="23"/>
  <c r="J308" i="23"/>
  <c r="P305" i="23"/>
  <c r="N305" i="23"/>
  <c r="L305" i="23"/>
  <c r="J305" i="23"/>
  <c r="P304" i="23"/>
  <c r="N304" i="23"/>
  <c r="L304" i="23"/>
  <c r="J304" i="23"/>
  <c r="P303" i="23"/>
  <c r="N303" i="23"/>
  <c r="L303" i="23"/>
  <c r="J303" i="23"/>
  <c r="P301" i="23"/>
  <c r="N301" i="23"/>
  <c r="L301" i="23"/>
  <c r="J301" i="23"/>
  <c r="P300" i="23"/>
  <c r="N300" i="23"/>
  <c r="L300" i="23"/>
  <c r="J300" i="23"/>
  <c r="P299" i="23"/>
  <c r="N299" i="23"/>
  <c r="L299" i="23"/>
  <c r="J299" i="23"/>
  <c r="P296" i="23"/>
  <c r="N296" i="23"/>
  <c r="L296" i="23"/>
  <c r="J296" i="23"/>
  <c r="P295" i="23"/>
  <c r="N295" i="23"/>
  <c r="L295" i="23"/>
  <c r="J295" i="23"/>
  <c r="P294" i="23"/>
  <c r="N294" i="23"/>
  <c r="L294" i="23"/>
  <c r="J294" i="23"/>
  <c r="X95" i="10"/>
  <c r="X96" i="10" s="1"/>
  <c r="Y95" i="10"/>
  <c r="Y96" i="10" s="1"/>
  <c r="Z95" i="10"/>
  <c r="Z96" i="10" s="1"/>
  <c r="AA95" i="10"/>
  <c r="AA96" i="10" s="1"/>
  <c r="AB95" i="10"/>
  <c r="AB96" i="10" s="1"/>
  <c r="AB92" i="10"/>
  <c r="AB93" i="10" s="1"/>
  <c r="AC95" i="10"/>
  <c r="AC96" i="10" s="1"/>
  <c r="AD95" i="10"/>
  <c r="AD96" i="10" s="1"/>
  <c r="P292" i="23"/>
  <c r="N292" i="23"/>
  <c r="L292" i="23"/>
  <c r="J292" i="23"/>
  <c r="P291" i="23"/>
  <c r="N291" i="23"/>
  <c r="L291" i="23"/>
  <c r="J291" i="23"/>
  <c r="P290" i="23"/>
  <c r="N290" i="23"/>
  <c r="L290" i="23"/>
  <c r="J290" i="23"/>
  <c r="P287" i="23"/>
  <c r="N287" i="23"/>
  <c r="L287" i="23"/>
  <c r="J287" i="23"/>
  <c r="P286" i="23"/>
  <c r="N286" i="23"/>
  <c r="L286" i="23"/>
  <c r="J286" i="23"/>
  <c r="P285" i="23"/>
  <c r="N285" i="23"/>
  <c r="L285" i="23"/>
  <c r="J285" i="23"/>
  <c r="P283" i="23"/>
  <c r="N283" i="23"/>
  <c r="L283" i="23"/>
  <c r="J283" i="23"/>
  <c r="P282" i="23"/>
  <c r="N282" i="23"/>
  <c r="L282" i="23"/>
  <c r="J282" i="23"/>
  <c r="P281" i="23"/>
  <c r="N281" i="23"/>
  <c r="L281" i="23"/>
  <c r="J281" i="23"/>
  <c r="P278" i="23"/>
  <c r="N278" i="23"/>
  <c r="L278" i="23"/>
  <c r="J278" i="23"/>
  <c r="P277" i="23"/>
  <c r="N277" i="23"/>
  <c r="L277" i="23"/>
  <c r="J277" i="23"/>
  <c r="P276" i="23"/>
  <c r="N276" i="23"/>
  <c r="L276" i="23"/>
  <c r="J276" i="23"/>
  <c r="W95" i="10"/>
  <c r="W96" i="10" s="1"/>
  <c r="P274" i="23"/>
  <c r="N274" i="23"/>
  <c r="L274" i="23"/>
  <c r="J274" i="23"/>
  <c r="P273" i="23"/>
  <c r="N273" i="23"/>
  <c r="L273" i="23"/>
  <c r="J273" i="23"/>
  <c r="P272" i="23"/>
  <c r="N272" i="23"/>
  <c r="L272" i="23"/>
  <c r="J272" i="23"/>
  <c r="P269" i="23"/>
  <c r="N269" i="23"/>
  <c r="L269" i="23"/>
  <c r="J269" i="23"/>
  <c r="P268" i="23"/>
  <c r="N268" i="23"/>
  <c r="L268" i="23"/>
  <c r="J268" i="23"/>
  <c r="P267" i="23"/>
  <c r="N267" i="23"/>
  <c r="L267" i="23"/>
  <c r="J267" i="23"/>
  <c r="P265" i="23"/>
  <c r="N265" i="23"/>
  <c r="L265" i="23"/>
  <c r="J265" i="23"/>
  <c r="P264" i="23"/>
  <c r="N264" i="23"/>
  <c r="L264" i="23"/>
  <c r="J264" i="23"/>
  <c r="P263" i="23"/>
  <c r="N263" i="23"/>
  <c r="L263" i="23"/>
  <c r="J263" i="23"/>
  <c r="P260" i="23"/>
  <c r="N260" i="23"/>
  <c r="L260" i="23"/>
  <c r="J260" i="23"/>
  <c r="P259" i="23"/>
  <c r="N259" i="23"/>
  <c r="L259" i="23"/>
  <c r="J259" i="23"/>
  <c r="P258" i="23"/>
  <c r="N258" i="23"/>
  <c r="L258" i="23"/>
  <c r="J258" i="23"/>
  <c r="X92" i="10"/>
  <c r="Y92" i="10"/>
  <c r="Z92" i="10"/>
  <c r="Z93" i="10" s="1"/>
  <c r="AA92" i="10"/>
  <c r="AA93" i="10" s="1"/>
  <c r="AC92" i="10"/>
  <c r="AC93" i="10" s="1"/>
  <c r="AD92" i="10"/>
  <c r="AD93" i="10" s="1"/>
  <c r="W92" i="10"/>
  <c r="W93" i="10" s="1"/>
  <c r="P256" i="23"/>
  <c r="N256" i="23"/>
  <c r="L256" i="23"/>
  <c r="J256" i="23"/>
  <c r="P255" i="23"/>
  <c r="N255" i="23"/>
  <c r="L255" i="23"/>
  <c r="J255" i="23"/>
  <c r="P254" i="23"/>
  <c r="N254" i="23"/>
  <c r="L254" i="23"/>
  <c r="J254" i="23"/>
  <c r="P251" i="23"/>
  <c r="N251" i="23"/>
  <c r="L251" i="23"/>
  <c r="J251" i="23"/>
  <c r="P250" i="23"/>
  <c r="N250" i="23"/>
  <c r="L250" i="23"/>
  <c r="J250" i="23"/>
  <c r="P249" i="23"/>
  <c r="N249" i="23"/>
  <c r="L249" i="23"/>
  <c r="J249" i="23"/>
  <c r="B554" i="23"/>
  <c r="C554" i="23"/>
  <c r="D554" i="23"/>
  <c r="E554" i="23"/>
  <c r="F554" i="23"/>
  <c r="G554" i="23" a="1"/>
  <c r="G554" i="23" s="1"/>
  <c r="H554" i="23" a="1"/>
  <c r="H554" i="23" s="1"/>
  <c r="B563" i="23"/>
  <c r="C563" i="23"/>
  <c r="D563" i="23"/>
  <c r="E563" i="23"/>
  <c r="F563" i="23"/>
  <c r="G563" i="23" a="1"/>
  <c r="G563" i="23" s="1"/>
  <c r="H563" i="23" a="1"/>
  <c r="H563" i="23" s="1"/>
  <c r="J240" i="23"/>
  <c r="L240" i="23"/>
  <c r="N240" i="23"/>
  <c r="P240" i="23"/>
  <c r="J241" i="23"/>
  <c r="L241" i="23"/>
  <c r="N241" i="23"/>
  <c r="P241" i="23"/>
  <c r="J242" i="23"/>
  <c r="L242" i="23"/>
  <c r="N242" i="23"/>
  <c r="P242" i="23"/>
  <c r="J245" i="23"/>
  <c r="L245" i="23"/>
  <c r="N245" i="23"/>
  <c r="P245" i="23"/>
  <c r="J246" i="23"/>
  <c r="L246" i="23"/>
  <c r="N246" i="23"/>
  <c r="P246" i="23"/>
  <c r="J247" i="23"/>
  <c r="L247" i="23"/>
  <c r="N247" i="23"/>
  <c r="P247" i="23"/>
  <c r="J231" i="23"/>
  <c r="L231" i="23"/>
  <c r="N231" i="23"/>
  <c r="P231" i="23"/>
  <c r="J232" i="23"/>
  <c r="L232" i="23"/>
  <c r="N232" i="23"/>
  <c r="P232" i="23"/>
  <c r="J233" i="23"/>
  <c r="L233" i="23"/>
  <c r="N233" i="23"/>
  <c r="P233" i="23"/>
  <c r="J236" i="23"/>
  <c r="L236" i="23"/>
  <c r="N236" i="23"/>
  <c r="P236" i="23"/>
  <c r="J237" i="23"/>
  <c r="L237" i="23"/>
  <c r="N237" i="23"/>
  <c r="P237" i="23"/>
  <c r="J238" i="23"/>
  <c r="L238" i="23"/>
  <c r="N238" i="23"/>
  <c r="P238" i="23"/>
  <c r="J222" i="23"/>
  <c r="L222" i="23"/>
  <c r="N222" i="23"/>
  <c r="P222" i="23"/>
  <c r="J223" i="23"/>
  <c r="L223" i="23"/>
  <c r="N223" i="23"/>
  <c r="P223" i="23"/>
  <c r="J224" i="23"/>
  <c r="L224" i="23"/>
  <c r="N224" i="23"/>
  <c r="P224" i="23"/>
  <c r="J227" i="23"/>
  <c r="L227" i="23"/>
  <c r="N227" i="23"/>
  <c r="P227" i="23"/>
  <c r="J228" i="23"/>
  <c r="L228" i="23"/>
  <c r="N228" i="23"/>
  <c r="P228" i="23"/>
  <c r="J229" i="23"/>
  <c r="L229" i="23"/>
  <c r="N229" i="23"/>
  <c r="P229" i="23"/>
  <c r="J213" i="23"/>
  <c r="K213" i="23"/>
  <c r="L213" i="23"/>
  <c r="M213" i="23"/>
  <c r="N213" i="23"/>
  <c r="O213" i="23"/>
  <c r="O214" i="23"/>
  <c r="O219" i="23" s="1"/>
  <c r="O215" i="23"/>
  <c r="O220" i="23" s="1"/>
  <c r="P213" i="23"/>
  <c r="J214" i="23"/>
  <c r="K214" i="23"/>
  <c r="K219" i="23" s="1"/>
  <c r="M214" i="23"/>
  <c r="M219" i="23" s="1"/>
  <c r="L214" i="23"/>
  <c r="N214" i="23"/>
  <c r="P214" i="23"/>
  <c r="J215" i="23"/>
  <c r="K215" i="23"/>
  <c r="K220" i="23" s="1"/>
  <c r="L215" i="23"/>
  <c r="M215" i="23"/>
  <c r="M220" i="23" s="1"/>
  <c r="N215" i="23"/>
  <c r="P215" i="23"/>
  <c r="J218" i="23"/>
  <c r="L218" i="23"/>
  <c r="N218" i="23"/>
  <c r="P218" i="23"/>
  <c r="J219" i="23"/>
  <c r="L219" i="23"/>
  <c r="N219" i="23"/>
  <c r="P219" i="23"/>
  <c r="J220" i="23"/>
  <c r="L220" i="23"/>
  <c r="N220" i="23"/>
  <c r="P220" i="23"/>
  <c r="J204" i="23"/>
  <c r="L204" i="23"/>
  <c r="N204" i="23"/>
  <c r="P204" i="23"/>
  <c r="J205" i="23"/>
  <c r="L205" i="23"/>
  <c r="N205" i="23"/>
  <c r="P205" i="23"/>
  <c r="J206" i="23"/>
  <c r="L206" i="23"/>
  <c r="N206" i="23"/>
  <c r="P206" i="23"/>
  <c r="J209" i="23"/>
  <c r="L209" i="23"/>
  <c r="N209" i="23"/>
  <c r="P209" i="23"/>
  <c r="J210" i="23"/>
  <c r="L210" i="23"/>
  <c r="N210" i="23"/>
  <c r="P210" i="23"/>
  <c r="J211" i="23"/>
  <c r="L211" i="23"/>
  <c r="N211" i="23"/>
  <c r="P211" i="23"/>
  <c r="J195" i="23"/>
  <c r="L195" i="23"/>
  <c r="N195" i="23"/>
  <c r="P195" i="23"/>
  <c r="J196" i="23"/>
  <c r="L196" i="23"/>
  <c r="N196" i="23"/>
  <c r="P196" i="23"/>
  <c r="J197" i="23"/>
  <c r="L197" i="23"/>
  <c r="N197" i="23"/>
  <c r="P197" i="23"/>
  <c r="J200" i="23"/>
  <c r="L200" i="23"/>
  <c r="N200" i="23"/>
  <c r="P200" i="23"/>
  <c r="J201" i="23"/>
  <c r="L201" i="23"/>
  <c r="N201" i="23"/>
  <c r="P201" i="23"/>
  <c r="J202" i="23"/>
  <c r="L202" i="23"/>
  <c r="N202" i="23"/>
  <c r="P202" i="23"/>
  <c r="J186" i="23"/>
  <c r="L186" i="23"/>
  <c r="N186" i="23"/>
  <c r="P186" i="23"/>
  <c r="J187" i="23"/>
  <c r="L187" i="23"/>
  <c r="N187" i="23"/>
  <c r="P187" i="23"/>
  <c r="J188" i="23"/>
  <c r="L188" i="23"/>
  <c r="N188" i="23"/>
  <c r="P188" i="23"/>
  <c r="J191" i="23"/>
  <c r="L191" i="23"/>
  <c r="N191" i="23"/>
  <c r="P191" i="23"/>
  <c r="J192" i="23"/>
  <c r="L192" i="23"/>
  <c r="N192" i="23"/>
  <c r="P192" i="23"/>
  <c r="J193" i="23"/>
  <c r="L193" i="23"/>
  <c r="N193" i="23"/>
  <c r="P193" i="23"/>
  <c r="J177" i="23"/>
  <c r="L177" i="23"/>
  <c r="N177" i="23"/>
  <c r="P177" i="23"/>
  <c r="J178" i="23"/>
  <c r="L178" i="23"/>
  <c r="N178" i="23"/>
  <c r="P178" i="23"/>
  <c r="J179" i="23"/>
  <c r="L179" i="23"/>
  <c r="N179" i="23"/>
  <c r="P179" i="23"/>
  <c r="J182" i="23"/>
  <c r="L182" i="23"/>
  <c r="N182" i="23"/>
  <c r="P182" i="23"/>
  <c r="J183" i="23"/>
  <c r="L183" i="23"/>
  <c r="N183" i="23"/>
  <c r="P183" i="23"/>
  <c r="J184" i="23"/>
  <c r="L184" i="23"/>
  <c r="N184" i="23"/>
  <c r="P184" i="23"/>
  <c r="J168" i="23"/>
  <c r="L168" i="23"/>
  <c r="N168" i="23"/>
  <c r="P168" i="23"/>
  <c r="J169" i="23"/>
  <c r="L169" i="23"/>
  <c r="N169" i="23"/>
  <c r="P169" i="23"/>
  <c r="J170" i="23"/>
  <c r="L170" i="23"/>
  <c r="N170" i="23"/>
  <c r="P170" i="23"/>
  <c r="J173" i="23"/>
  <c r="L173" i="23"/>
  <c r="N173" i="23"/>
  <c r="P173" i="23"/>
  <c r="J174" i="23"/>
  <c r="L174" i="23"/>
  <c r="N174" i="23"/>
  <c r="P174" i="23"/>
  <c r="J175" i="23"/>
  <c r="L175" i="23"/>
  <c r="N175" i="23"/>
  <c r="P175" i="23"/>
  <c r="J159" i="23"/>
  <c r="L159" i="23"/>
  <c r="N159" i="23"/>
  <c r="P159" i="23"/>
  <c r="J160" i="23"/>
  <c r="L160" i="23"/>
  <c r="N160" i="23"/>
  <c r="P160" i="23"/>
  <c r="J161" i="23"/>
  <c r="L161" i="23"/>
  <c r="N161" i="23"/>
  <c r="P161" i="23"/>
  <c r="J164" i="23"/>
  <c r="L164" i="23"/>
  <c r="N164" i="23"/>
  <c r="P164" i="23"/>
  <c r="J165" i="23"/>
  <c r="L165" i="23"/>
  <c r="N165" i="23"/>
  <c r="P165" i="23"/>
  <c r="J166" i="23"/>
  <c r="L166" i="23"/>
  <c r="N166" i="23"/>
  <c r="P166" i="23"/>
  <c r="X74" i="10"/>
  <c r="AB74" i="10"/>
  <c r="AC74" i="10"/>
  <c r="AE74" i="10"/>
  <c r="C6" i="26"/>
  <c r="C36" i="26"/>
  <c r="D20" i="26"/>
  <c r="C20" i="26"/>
  <c r="E20" i="26"/>
  <c r="D6" i="26"/>
  <c r="J150" i="23"/>
  <c r="L150" i="23"/>
  <c r="N150" i="23"/>
  <c r="P150" i="23"/>
  <c r="J151" i="23"/>
  <c r="L151" i="23"/>
  <c r="N151" i="23"/>
  <c r="P151" i="23"/>
  <c r="J152" i="23"/>
  <c r="L152" i="23"/>
  <c r="N152" i="23"/>
  <c r="P152" i="23"/>
  <c r="J155" i="23"/>
  <c r="L155" i="23"/>
  <c r="N155" i="23"/>
  <c r="P155" i="23"/>
  <c r="J156" i="23"/>
  <c r="L156" i="23"/>
  <c r="N156" i="23"/>
  <c r="P156" i="23"/>
  <c r="J157" i="23"/>
  <c r="L157" i="23"/>
  <c r="N157" i="23"/>
  <c r="P157" i="23"/>
  <c r="J141" i="23"/>
  <c r="L141" i="23"/>
  <c r="N141" i="23"/>
  <c r="P141" i="23"/>
  <c r="J142" i="23"/>
  <c r="L142" i="23"/>
  <c r="N142" i="23"/>
  <c r="P142" i="23"/>
  <c r="J143" i="23"/>
  <c r="L143" i="23"/>
  <c r="N143" i="23"/>
  <c r="P143" i="23"/>
  <c r="J146" i="23"/>
  <c r="L146" i="23"/>
  <c r="N146" i="23"/>
  <c r="P146" i="23"/>
  <c r="J147" i="23"/>
  <c r="L147" i="23"/>
  <c r="N147" i="23"/>
  <c r="P147" i="23"/>
  <c r="J148" i="23"/>
  <c r="L148" i="23"/>
  <c r="N148" i="23"/>
  <c r="P148" i="23"/>
  <c r="J132" i="23"/>
  <c r="L132" i="23"/>
  <c r="N132" i="23"/>
  <c r="P132" i="23"/>
  <c r="J133" i="23"/>
  <c r="L133" i="23"/>
  <c r="N133" i="23"/>
  <c r="P133" i="23"/>
  <c r="J134" i="23"/>
  <c r="L134" i="23"/>
  <c r="N134" i="23"/>
  <c r="P134" i="23"/>
  <c r="J137" i="23"/>
  <c r="L137" i="23"/>
  <c r="N137" i="23"/>
  <c r="P137" i="23"/>
  <c r="J138" i="23"/>
  <c r="L138" i="23"/>
  <c r="N138" i="23"/>
  <c r="P138" i="23"/>
  <c r="J139" i="23"/>
  <c r="L139" i="23"/>
  <c r="N139" i="23"/>
  <c r="P139" i="23"/>
  <c r="J123" i="23"/>
  <c r="L123" i="23"/>
  <c r="N123" i="23"/>
  <c r="P123" i="23"/>
  <c r="J124" i="23"/>
  <c r="L124" i="23"/>
  <c r="N124" i="23"/>
  <c r="P124" i="23"/>
  <c r="J125" i="23"/>
  <c r="L125" i="23"/>
  <c r="N125" i="23"/>
  <c r="P125" i="23"/>
  <c r="J128" i="23"/>
  <c r="L128" i="23"/>
  <c r="N128" i="23"/>
  <c r="P128" i="23"/>
  <c r="J129" i="23"/>
  <c r="L129" i="23"/>
  <c r="N129" i="23"/>
  <c r="P129" i="23"/>
  <c r="J130" i="23"/>
  <c r="L130" i="23"/>
  <c r="N130" i="23"/>
  <c r="P130" i="23"/>
  <c r="J114" i="23"/>
  <c r="L114" i="23"/>
  <c r="N114" i="23"/>
  <c r="P114" i="23"/>
  <c r="J115" i="23"/>
  <c r="L115" i="23"/>
  <c r="N115" i="23"/>
  <c r="P115" i="23"/>
  <c r="J116" i="23"/>
  <c r="L116" i="23"/>
  <c r="N116" i="23"/>
  <c r="P116" i="23"/>
  <c r="J119" i="23"/>
  <c r="L119" i="23"/>
  <c r="N119" i="23"/>
  <c r="P119" i="23"/>
  <c r="J120" i="23"/>
  <c r="L120" i="23"/>
  <c r="N120" i="23"/>
  <c r="P120" i="23"/>
  <c r="J121" i="23"/>
  <c r="L121" i="23"/>
  <c r="N121" i="23"/>
  <c r="P121" i="23"/>
  <c r="J105" i="23"/>
  <c r="L105" i="23"/>
  <c r="N105" i="23"/>
  <c r="P105" i="23"/>
  <c r="J106" i="23"/>
  <c r="L106" i="23"/>
  <c r="N106" i="23"/>
  <c r="P106" i="23"/>
  <c r="J107" i="23"/>
  <c r="L107" i="23"/>
  <c r="N107" i="23"/>
  <c r="P107" i="23"/>
  <c r="J110" i="23"/>
  <c r="L110" i="23"/>
  <c r="N110" i="23"/>
  <c r="P110" i="23"/>
  <c r="J111" i="23"/>
  <c r="L111" i="23"/>
  <c r="N111" i="23"/>
  <c r="P111" i="23"/>
  <c r="J112" i="23"/>
  <c r="L112" i="23"/>
  <c r="N112" i="23"/>
  <c r="P112" i="23"/>
  <c r="J96" i="23"/>
  <c r="L96" i="23"/>
  <c r="N96" i="23"/>
  <c r="P96" i="23"/>
  <c r="J97" i="23"/>
  <c r="L97" i="23"/>
  <c r="N97" i="23"/>
  <c r="P97" i="23"/>
  <c r="J98" i="23"/>
  <c r="L98" i="23"/>
  <c r="N98" i="23"/>
  <c r="P98" i="23"/>
  <c r="J101" i="23"/>
  <c r="L101" i="23"/>
  <c r="N101" i="23"/>
  <c r="P101" i="23"/>
  <c r="J102" i="23"/>
  <c r="L102" i="23"/>
  <c r="N102" i="23"/>
  <c r="P102" i="23"/>
  <c r="J103" i="23"/>
  <c r="L103" i="23"/>
  <c r="N103" i="23"/>
  <c r="P103" i="23"/>
  <c r="J87" i="23"/>
  <c r="L87" i="23"/>
  <c r="N87" i="23"/>
  <c r="P87" i="23"/>
  <c r="J88" i="23"/>
  <c r="L88" i="23"/>
  <c r="N88" i="23"/>
  <c r="P88" i="23"/>
  <c r="J89" i="23"/>
  <c r="L89" i="23"/>
  <c r="N89" i="23"/>
  <c r="P89" i="23"/>
  <c r="J92" i="23"/>
  <c r="L92" i="23"/>
  <c r="N92" i="23"/>
  <c r="P92" i="23"/>
  <c r="J93" i="23"/>
  <c r="L93" i="23"/>
  <c r="N93" i="23"/>
  <c r="P93" i="23"/>
  <c r="J94" i="23"/>
  <c r="L94" i="23"/>
  <c r="N94" i="23"/>
  <c r="P94" i="23"/>
  <c r="J78" i="23"/>
  <c r="L78" i="23"/>
  <c r="N78" i="23"/>
  <c r="P78" i="23"/>
  <c r="J79" i="23"/>
  <c r="L79" i="23"/>
  <c r="N79" i="23"/>
  <c r="P79" i="23"/>
  <c r="J80" i="23"/>
  <c r="L80" i="23"/>
  <c r="N80" i="23"/>
  <c r="P80" i="23"/>
  <c r="J83" i="23"/>
  <c r="L83" i="23"/>
  <c r="N83" i="23"/>
  <c r="P83" i="23"/>
  <c r="J84" i="23"/>
  <c r="L84" i="23"/>
  <c r="N84" i="23"/>
  <c r="P84" i="23"/>
  <c r="J85" i="23"/>
  <c r="L85" i="23"/>
  <c r="N85" i="23"/>
  <c r="P85" i="23"/>
  <c r="Q131" i="24"/>
  <c r="Q130" i="24"/>
  <c r="Q129" i="24"/>
  <c r="Q128" i="24"/>
  <c r="Q127" i="24"/>
  <c r="Q126" i="24"/>
  <c r="Q125" i="24"/>
  <c r="Q124" i="24"/>
  <c r="Q123" i="24"/>
  <c r="Q122" i="24"/>
  <c r="Q121" i="24"/>
  <c r="Q120" i="24"/>
  <c r="Q119"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C9" i="24"/>
  <c r="R37" i="10"/>
  <c r="S37" i="10"/>
  <c r="T37" i="10"/>
  <c r="U37" i="10"/>
  <c r="U38" i="10"/>
  <c r="S39" i="10"/>
  <c r="U39" i="10"/>
  <c r="R35" i="10"/>
  <c r="R36" i="10"/>
  <c r="R44" i="10"/>
  <c r="R46" i="10"/>
  <c r="R47" i="10"/>
  <c r="R48" i="10"/>
  <c r="R49" i="10"/>
  <c r="Q44" i="10"/>
  <c r="S44" i="10"/>
  <c r="T44" i="10"/>
  <c r="U44" i="10"/>
  <c r="Q47" i="10"/>
  <c r="S47" i="10"/>
  <c r="T47" i="10"/>
  <c r="U47" i="10"/>
  <c r="Q46" i="10"/>
  <c r="S46" i="10"/>
  <c r="T46" i="10"/>
  <c r="U46" i="10"/>
  <c r="Q45" i="10"/>
  <c r="S45" i="10"/>
  <c r="T45" i="10"/>
  <c r="U45" i="10"/>
  <c r="Q48" i="10"/>
  <c r="S48" i="10"/>
  <c r="T48" i="10"/>
  <c r="U48" i="10"/>
  <c r="Q49" i="10"/>
  <c r="S49" i="10"/>
  <c r="T49" i="10"/>
  <c r="U49" i="10"/>
  <c r="T74" i="10"/>
  <c r="U74" i="10"/>
  <c r="U35" i="10"/>
  <c r="T35" i="10"/>
  <c r="S35" i="10"/>
  <c r="S36" i="10"/>
  <c r="S38" i="10"/>
  <c r="Q35" i="10"/>
  <c r="U36" i="10"/>
  <c r="O71" i="23"/>
  <c r="O76" i="23" s="1"/>
  <c r="O70" i="23"/>
  <c r="O75" i="23" s="1"/>
  <c r="K70" i="23"/>
  <c r="K75" i="23" s="1"/>
  <c r="M71" i="23"/>
  <c r="M76" i="23" s="1"/>
  <c r="M69" i="23"/>
  <c r="M74" i="23" s="1"/>
  <c r="K71" i="23"/>
  <c r="K69" i="23"/>
  <c r="K74" i="23" s="1"/>
  <c r="P76" i="23"/>
  <c r="N76" i="23"/>
  <c r="L76" i="23"/>
  <c r="J76" i="23"/>
  <c r="P75" i="23"/>
  <c r="N75" i="23"/>
  <c r="L75" i="23"/>
  <c r="J75" i="23"/>
  <c r="P74" i="23"/>
  <c r="N74" i="23"/>
  <c r="L74" i="23"/>
  <c r="J74" i="23"/>
  <c r="P71" i="23"/>
  <c r="N71" i="23"/>
  <c r="L71" i="23"/>
  <c r="J71" i="23"/>
  <c r="P70" i="23"/>
  <c r="N70" i="23"/>
  <c r="L70" i="23"/>
  <c r="J70" i="23"/>
  <c r="P69" i="23"/>
  <c r="N69" i="23"/>
  <c r="L69" i="23"/>
  <c r="J69" i="23"/>
  <c r="O62" i="23"/>
  <c r="O67" i="23" s="1"/>
  <c r="O60" i="23"/>
  <c r="O65" i="23" s="1"/>
  <c r="O61" i="23"/>
  <c r="O66" i="23" s="1"/>
  <c r="K62" i="23"/>
  <c r="K67" i="23" s="1"/>
  <c r="M62" i="23"/>
  <c r="M67" i="23" s="1"/>
  <c r="K61" i="23"/>
  <c r="M61" i="23"/>
  <c r="M66" i="23" s="1"/>
  <c r="K60" i="23"/>
  <c r="M60" i="23"/>
  <c r="P67" i="23"/>
  <c r="N67" i="23"/>
  <c r="L67" i="23"/>
  <c r="J67" i="23"/>
  <c r="P66" i="23"/>
  <c r="N66" i="23"/>
  <c r="L66" i="23"/>
  <c r="J66" i="23"/>
  <c r="P65" i="23"/>
  <c r="N65" i="23"/>
  <c r="L65" i="23"/>
  <c r="J65" i="23"/>
  <c r="P62" i="23"/>
  <c r="N62" i="23"/>
  <c r="L62" i="23"/>
  <c r="J62" i="23"/>
  <c r="P61" i="23"/>
  <c r="N61" i="23"/>
  <c r="L61" i="23"/>
  <c r="J61" i="23"/>
  <c r="P60" i="23"/>
  <c r="N60" i="23"/>
  <c r="L60" i="23"/>
  <c r="J60" i="23"/>
  <c r="O53" i="23"/>
  <c r="O44" i="23"/>
  <c r="O49" i="23" s="1"/>
  <c r="O42" i="23"/>
  <c r="O47" i="23" s="1"/>
  <c r="O43" i="23"/>
  <c r="O52" i="23"/>
  <c r="O57" i="23" s="1"/>
  <c r="O51" i="23"/>
  <c r="K52" i="23"/>
  <c r="M52" i="23"/>
  <c r="M57" i="23" s="1"/>
  <c r="M51" i="23"/>
  <c r="M56" i="23" s="1"/>
  <c r="M53" i="23"/>
  <c r="M58" i="23" s="1"/>
  <c r="K53" i="23"/>
  <c r="K58" i="23" s="1"/>
  <c r="K51" i="23"/>
  <c r="P58" i="23"/>
  <c r="N58" i="23"/>
  <c r="L58" i="23"/>
  <c r="J58" i="23"/>
  <c r="P57" i="23"/>
  <c r="N57" i="23"/>
  <c r="L57" i="23"/>
  <c r="J57" i="23"/>
  <c r="P56" i="23"/>
  <c r="N56" i="23"/>
  <c r="L56" i="23"/>
  <c r="J56" i="23"/>
  <c r="P53" i="23"/>
  <c r="N53" i="23"/>
  <c r="L53" i="23"/>
  <c r="J53" i="23"/>
  <c r="P52" i="23"/>
  <c r="N52" i="23"/>
  <c r="L52" i="23"/>
  <c r="J52" i="23"/>
  <c r="P51" i="23"/>
  <c r="N51" i="23"/>
  <c r="L51" i="23"/>
  <c r="J51" i="23"/>
  <c r="P49" i="23"/>
  <c r="P48" i="23"/>
  <c r="P47" i="23"/>
  <c r="N49" i="23"/>
  <c r="N48" i="23"/>
  <c r="N47" i="23"/>
  <c r="M44" i="23"/>
  <c r="M49" i="23" s="1"/>
  <c r="M43" i="23"/>
  <c r="M48" i="23" s="1"/>
  <c r="K44" i="23"/>
  <c r="K49" i="23" s="1"/>
  <c r="K43" i="23"/>
  <c r="K48" i="23" s="1"/>
  <c r="K42" i="23"/>
  <c r="K47" i="23" s="1"/>
  <c r="P44" i="23"/>
  <c r="P43" i="23"/>
  <c r="P42" i="23"/>
  <c r="N44" i="23"/>
  <c r="N43" i="23"/>
  <c r="N42" i="23"/>
  <c r="L49" i="23"/>
  <c r="J49" i="23"/>
  <c r="L48" i="23"/>
  <c r="J48" i="23"/>
  <c r="L47" i="23"/>
  <c r="J47" i="23"/>
  <c r="L44" i="23"/>
  <c r="J44" i="23"/>
  <c r="L43" i="23"/>
  <c r="J43" i="23"/>
  <c r="L42" i="23"/>
  <c r="J42" i="23"/>
  <c r="P40" i="23"/>
  <c r="P39" i="23"/>
  <c r="P38" i="23"/>
  <c r="B50" i="23"/>
  <c r="C50" i="23"/>
  <c r="D50" i="23"/>
  <c r="E50" i="23"/>
  <c r="F50" i="23"/>
  <c r="G50" i="23" a="1"/>
  <c r="G50" i="23" s="1"/>
  <c r="H50" i="23" a="1"/>
  <c r="H50" i="23" s="1"/>
  <c r="B59" i="23"/>
  <c r="C59" i="23"/>
  <c r="D59" i="23"/>
  <c r="E59" i="23"/>
  <c r="F59" i="23"/>
  <c r="G59" i="23" a="1"/>
  <c r="G59" i="23" s="1"/>
  <c r="H59" i="23" a="1"/>
  <c r="H59" i="23" s="1"/>
  <c r="B68" i="23"/>
  <c r="C68" i="23"/>
  <c r="D68" i="23"/>
  <c r="E68" i="23"/>
  <c r="F68" i="23"/>
  <c r="G68" i="23" a="1"/>
  <c r="G68" i="23" s="1"/>
  <c r="H68" i="23" a="1"/>
  <c r="H68" i="23" s="1"/>
  <c r="B77" i="23"/>
  <c r="C77" i="23"/>
  <c r="D77" i="23"/>
  <c r="E77" i="23"/>
  <c r="F77" i="23"/>
  <c r="G77" i="23" a="1"/>
  <c r="G77" i="23" s="1"/>
  <c r="H77" i="23" a="1"/>
  <c r="H77" i="23" s="1"/>
  <c r="B86" i="23"/>
  <c r="C86" i="23"/>
  <c r="D86" i="23"/>
  <c r="E86" i="23"/>
  <c r="F86" i="23"/>
  <c r="G86" i="23" a="1"/>
  <c r="G86" i="23" s="1"/>
  <c r="H86" i="23" a="1"/>
  <c r="H86" i="23" s="1"/>
  <c r="B95" i="23"/>
  <c r="C95" i="23"/>
  <c r="D95" i="23"/>
  <c r="E95" i="23"/>
  <c r="F95" i="23"/>
  <c r="G95" i="23" a="1"/>
  <c r="G95" i="23" s="1"/>
  <c r="H95" i="23" a="1"/>
  <c r="H95" i="23" s="1"/>
  <c r="B104" i="23"/>
  <c r="C104" i="23"/>
  <c r="D104" i="23"/>
  <c r="E104" i="23"/>
  <c r="F104" i="23"/>
  <c r="G104" i="23" a="1"/>
  <c r="G104" i="23" s="1"/>
  <c r="H104" i="23" a="1"/>
  <c r="H104" i="23" s="1"/>
  <c r="B113" i="23"/>
  <c r="C113" i="23"/>
  <c r="D113" i="23"/>
  <c r="E113" i="23"/>
  <c r="F113" i="23"/>
  <c r="G113" i="23" a="1"/>
  <c r="G113" i="23" s="1"/>
  <c r="H113" i="23" a="1"/>
  <c r="H113" i="23" s="1"/>
  <c r="B122" i="23"/>
  <c r="C122" i="23"/>
  <c r="D122" i="23"/>
  <c r="E122" i="23"/>
  <c r="F122" i="23"/>
  <c r="G122" i="23" a="1"/>
  <c r="G122" i="23" s="1"/>
  <c r="H122" i="23" a="1"/>
  <c r="H122" i="23" s="1"/>
  <c r="B131" i="23"/>
  <c r="C131" i="23"/>
  <c r="D131" i="23"/>
  <c r="E131" i="23"/>
  <c r="F131" i="23"/>
  <c r="G131" i="23" a="1"/>
  <c r="G131" i="23" s="1"/>
  <c r="H131" i="23" a="1"/>
  <c r="H131" i="23" s="1"/>
  <c r="B140" i="23"/>
  <c r="C140" i="23"/>
  <c r="D140" i="23"/>
  <c r="E140" i="23"/>
  <c r="F140" i="23"/>
  <c r="G140" i="23" a="1"/>
  <c r="G140" i="23" s="1"/>
  <c r="H140" i="23" a="1"/>
  <c r="H140" i="23" s="1"/>
  <c r="B149" i="23"/>
  <c r="C149" i="23"/>
  <c r="D149" i="23"/>
  <c r="E149" i="23"/>
  <c r="F149" i="23"/>
  <c r="G149" i="23" a="1"/>
  <c r="G149" i="23" s="1"/>
  <c r="H149" i="23" a="1"/>
  <c r="H149" i="23" s="1"/>
  <c r="B158" i="23"/>
  <c r="C158" i="23"/>
  <c r="D158" i="23"/>
  <c r="E158" i="23"/>
  <c r="F158" i="23"/>
  <c r="G158" i="23" a="1"/>
  <c r="G158" i="23" s="1"/>
  <c r="H158" i="23" a="1"/>
  <c r="H158" i="23" s="1"/>
  <c r="B167" i="23"/>
  <c r="C167" i="23"/>
  <c r="D167" i="23"/>
  <c r="E167" i="23"/>
  <c r="F167" i="23"/>
  <c r="G167" i="23" a="1"/>
  <c r="G167" i="23" s="1"/>
  <c r="H167" i="23" a="1"/>
  <c r="H167" i="23" s="1"/>
  <c r="B176" i="23"/>
  <c r="C176" i="23"/>
  <c r="D176" i="23"/>
  <c r="E176" i="23"/>
  <c r="F176" i="23"/>
  <c r="G176" i="23" a="1"/>
  <c r="G176" i="23" s="1"/>
  <c r="H176" i="23" a="1"/>
  <c r="H176" i="23" s="1"/>
  <c r="B185" i="23"/>
  <c r="C185" i="23"/>
  <c r="D185" i="23"/>
  <c r="E185" i="23"/>
  <c r="F185" i="23"/>
  <c r="G185" i="23" a="1"/>
  <c r="G185" i="23" s="1"/>
  <c r="H185" i="23" a="1"/>
  <c r="H185" i="23" s="1"/>
  <c r="B194" i="23"/>
  <c r="C194" i="23"/>
  <c r="D194" i="23"/>
  <c r="E194" i="23"/>
  <c r="F194" i="23"/>
  <c r="G194" i="23" a="1"/>
  <c r="G194" i="23" s="1"/>
  <c r="H194" i="23" a="1"/>
  <c r="H194" i="23" s="1"/>
  <c r="B203" i="23"/>
  <c r="C203" i="23"/>
  <c r="D203" i="23"/>
  <c r="E203" i="23"/>
  <c r="F203" i="23"/>
  <c r="G203" i="23" a="1"/>
  <c r="G203" i="23" s="1"/>
  <c r="H203" i="23" a="1"/>
  <c r="H203" i="23" s="1"/>
  <c r="B212" i="23"/>
  <c r="C212" i="23"/>
  <c r="D212" i="23"/>
  <c r="E212" i="23"/>
  <c r="F212" i="23"/>
  <c r="G212" i="23" a="1"/>
  <c r="G212" i="23" s="1"/>
  <c r="H212" i="23" a="1"/>
  <c r="H212" i="23" s="1"/>
  <c r="B221" i="23"/>
  <c r="C221" i="23"/>
  <c r="D221" i="23"/>
  <c r="E221" i="23"/>
  <c r="F221" i="23"/>
  <c r="G221" i="23" a="1"/>
  <c r="G221" i="23" s="1"/>
  <c r="H221" i="23" a="1"/>
  <c r="H221" i="23" s="1"/>
  <c r="B230" i="23"/>
  <c r="C230" i="23"/>
  <c r="D230" i="23"/>
  <c r="E230" i="23"/>
  <c r="F230" i="23"/>
  <c r="G230" i="23" a="1"/>
  <c r="G230" i="23" s="1"/>
  <c r="H230" i="23" a="1"/>
  <c r="H230" i="23" s="1"/>
  <c r="B239" i="23"/>
  <c r="C239" i="23"/>
  <c r="D239" i="23"/>
  <c r="E239" i="23"/>
  <c r="F239" i="23"/>
  <c r="G239" i="23" a="1"/>
  <c r="G239" i="23" s="1"/>
  <c r="H239" i="23" a="1"/>
  <c r="H239" i="23" s="1"/>
  <c r="B248" i="23"/>
  <c r="C248" i="23"/>
  <c r="D248" i="23"/>
  <c r="E248" i="23"/>
  <c r="F248" i="23"/>
  <c r="G248" i="23" a="1"/>
  <c r="G248" i="23" s="1"/>
  <c r="H248" i="23" a="1"/>
  <c r="H248" i="23" s="1"/>
  <c r="B257" i="23"/>
  <c r="C257" i="23"/>
  <c r="D257" i="23"/>
  <c r="E257" i="23"/>
  <c r="F257" i="23"/>
  <c r="G257" i="23" a="1"/>
  <c r="G257" i="23" s="1"/>
  <c r="H257" i="23" a="1"/>
  <c r="H257" i="23" s="1"/>
  <c r="B266" i="23"/>
  <c r="C266" i="23"/>
  <c r="D266" i="23"/>
  <c r="E266" i="23"/>
  <c r="F266" i="23"/>
  <c r="G266" i="23" a="1"/>
  <c r="G266" i="23" s="1"/>
  <c r="H266" i="23" a="1"/>
  <c r="H266" i="23" s="1"/>
  <c r="B275" i="23"/>
  <c r="C275" i="23"/>
  <c r="D275" i="23"/>
  <c r="E275" i="23"/>
  <c r="F275" i="23"/>
  <c r="G275" i="23" a="1"/>
  <c r="G275" i="23" s="1"/>
  <c r="H275" i="23" a="1"/>
  <c r="H275" i="23" s="1"/>
  <c r="B284" i="23"/>
  <c r="C284" i="23"/>
  <c r="D284" i="23"/>
  <c r="E284" i="23"/>
  <c r="F284" i="23"/>
  <c r="G284" i="23" a="1"/>
  <c r="G284" i="23" s="1"/>
  <c r="H284" i="23" a="1"/>
  <c r="H284" i="23" s="1"/>
  <c r="B293" i="23"/>
  <c r="C293" i="23"/>
  <c r="D293" i="23"/>
  <c r="E293" i="23"/>
  <c r="F293" i="23"/>
  <c r="G293" i="23" a="1"/>
  <c r="G293" i="23" s="1"/>
  <c r="H293" i="23" a="1"/>
  <c r="H293" i="23" s="1"/>
  <c r="B302" i="23"/>
  <c r="C302" i="23"/>
  <c r="D302" i="23"/>
  <c r="E302" i="23"/>
  <c r="F302" i="23"/>
  <c r="G302" i="23" a="1"/>
  <c r="G302" i="23" s="1"/>
  <c r="H302" i="23" a="1"/>
  <c r="H302" i="23" s="1"/>
  <c r="B311" i="23"/>
  <c r="C311" i="23"/>
  <c r="D311" i="23"/>
  <c r="E311" i="23"/>
  <c r="F311" i="23"/>
  <c r="G311" i="23" a="1"/>
  <c r="G311" i="23" s="1"/>
  <c r="H311" i="23" a="1"/>
  <c r="H311" i="23" s="1"/>
  <c r="B320" i="23"/>
  <c r="C320" i="23"/>
  <c r="D320" i="23"/>
  <c r="E320" i="23"/>
  <c r="F320" i="23"/>
  <c r="G320" i="23" a="1"/>
  <c r="G320" i="23" s="1"/>
  <c r="H320" i="23" a="1"/>
  <c r="H320" i="23" s="1"/>
  <c r="B329" i="23"/>
  <c r="C329" i="23"/>
  <c r="D329" i="23"/>
  <c r="E329" i="23"/>
  <c r="F329" i="23"/>
  <c r="G329" i="23" a="1"/>
  <c r="G329" i="23" s="1"/>
  <c r="H329" i="23" a="1"/>
  <c r="H329" i="23" s="1"/>
  <c r="B338" i="23"/>
  <c r="C338" i="23"/>
  <c r="D338" i="23"/>
  <c r="E338" i="23"/>
  <c r="F338" i="23"/>
  <c r="G338" i="23" a="1"/>
  <c r="G338" i="23" s="1"/>
  <c r="H338" i="23" a="1"/>
  <c r="H338" i="23" s="1"/>
  <c r="B347" i="23"/>
  <c r="C347" i="23"/>
  <c r="D347" i="23"/>
  <c r="E347" i="23"/>
  <c r="F347" i="23"/>
  <c r="G347" i="23" a="1"/>
  <c r="G347" i="23" s="1"/>
  <c r="H347" i="23" a="1"/>
  <c r="H347" i="23" s="1"/>
  <c r="B356" i="23"/>
  <c r="C356" i="23"/>
  <c r="D356" i="23"/>
  <c r="F356" i="23"/>
  <c r="G356" i="23" a="1"/>
  <c r="G356" i="23" s="1"/>
  <c r="H356" i="23" a="1"/>
  <c r="H356" i="23" s="1"/>
  <c r="B365" i="23"/>
  <c r="C365" i="23"/>
  <c r="D365" i="23"/>
  <c r="E365" i="23"/>
  <c r="F365" i="23"/>
  <c r="G365" i="23" a="1"/>
  <c r="G365" i="23" s="1"/>
  <c r="H365" i="23" a="1"/>
  <c r="H365" i="23" s="1"/>
  <c r="C374" i="23"/>
  <c r="D374" i="23"/>
  <c r="E374" i="23"/>
  <c r="F374" i="23"/>
  <c r="G374" i="23" a="1"/>
  <c r="G374" i="23" s="1"/>
  <c r="H374" i="23" a="1"/>
  <c r="H374" i="23" s="1"/>
  <c r="B383" i="23"/>
  <c r="C383" i="23"/>
  <c r="D383" i="23"/>
  <c r="E383" i="23"/>
  <c r="F383" i="23"/>
  <c r="G383" i="23" a="1"/>
  <c r="G383" i="23" s="1"/>
  <c r="H383" i="23" a="1"/>
  <c r="H383" i="23" s="1"/>
  <c r="B392" i="23"/>
  <c r="C392" i="23"/>
  <c r="D392" i="23"/>
  <c r="E392" i="23"/>
  <c r="F392" i="23"/>
  <c r="G392" i="23" a="1"/>
  <c r="G392" i="23" s="1"/>
  <c r="H392" i="23" a="1"/>
  <c r="H392" i="23" s="1"/>
  <c r="B401" i="23"/>
  <c r="C401" i="23"/>
  <c r="D401" i="23"/>
  <c r="E401" i="23"/>
  <c r="F401" i="23"/>
  <c r="G401" i="23" a="1"/>
  <c r="G401" i="23" s="1"/>
  <c r="H401" i="23" a="1"/>
  <c r="H401" i="23" s="1"/>
  <c r="B410" i="23"/>
  <c r="C410" i="23"/>
  <c r="D410" i="23"/>
  <c r="E410" i="23"/>
  <c r="F410" i="23"/>
  <c r="G410" i="23" a="1"/>
  <c r="G410" i="23" s="1"/>
  <c r="H410" i="23" a="1"/>
  <c r="H410" i="23" s="1"/>
  <c r="B419" i="23"/>
  <c r="C419" i="23"/>
  <c r="D419" i="23"/>
  <c r="E419" i="23"/>
  <c r="F419" i="23"/>
  <c r="G419" i="23" a="1"/>
  <c r="G419" i="23" s="1"/>
  <c r="H419" i="23" a="1"/>
  <c r="H419" i="23" s="1"/>
  <c r="B428" i="23"/>
  <c r="C428" i="23"/>
  <c r="D428" i="23"/>
  <c r="E428" i="23"/>
  <c r="F428" i="23"/>
  <c r="G428" i="23" a="1"/>
  <c r="G428" i="23" s="1"/>
  <c r="H428" i="23" a="1"/>
  <c r="H428" i="23" s="1"/>
  <c r="B437" i="23"/>
  <c r="C437" i="23"/>
  <c r="D437" i="23"/>
  <c r="E437" i="23"/>
  <c r="F437" i="23"/>
  <c r="G437" i="23" a="1"/>
  <c r="G437" i="23" s="1"/>
  <c r="H437" i="23" a="1"/>
  <c r="H437" i="23" s="1"/>
  <c r="B446" i="23"/>
  <c r="C446" i="23"/>
  <c r="D446" i="23"/>
  <c r="E446" i="23"/>
  <c r="F446" i="23"/>
  <c r="G446" i="23" a="1"/>
  <c r="G446" i="23" s="1"/>
  <c r="H446" i="23" a="1"/>
  <c r="H446" i="23" s="1"/>
  <c r="B455" i="23"/>
  <c r="C455" i="23"/>
  <c r="D455" i="23"/>
  <c r="E455" i="23"/>
  <c r="F455" i="23"/>
  <c r="G455" i="23" a="1"/>
  <c r="G455" i="23" s="1"/>
  <c r="H455" i="23" a="1"/>
  <c r="H455" i="23" s="1"/>
  <c r="B464" i="23"/>
  <c r="C464" i="23"/>
  <c r="D464" i="23"/>
  <c r="E464" i="23"/>
  <c r="F464" i="23"/>
  <c r="G464" i="23" a="1"/>
  <c r="G464" i="23" s="1"/>
  <c r="H464" i="23" a="1"/>
  <c r="H464" i="23" s="1"/>
  <c r="B473" i="23"/>
  <c r="C473" i="23"/>
  <c r="D473" i="23"/>
  <c r="E473" i="23"/>
  <c r="F473" i="23"/>
  <c r="G473" i="23" a="1"/>
  <c r="G473" i="23" s="1"/>
  <c r="H473" i="23" a="1"/>
  <c r="H473" i="23" s="1"/>
  <c r="B482" i="23"/>
  <c r="C482" i="23"/>
  <c r="D482" i="23"/>
  <c r="E482" i="23"/>
  <c r="F482" i="23"/>
  <c r="G482" i="23" a="1"/>
  <c r="G482" i="23" s="1"/>
  <c r="H482" i="23" a="1"/>
  <c r="H482" i="23" s="1"/>
  <c r="B491" i="23"/>
  <c r="C491" i="23"/>
  <c r="D491" i="23"/>
  <c r="E491" i="23"/>
  <c r="F491" i="23"/>
  <c r="G491" i="23" a="1"/>
  <c r="G491" i="23" s="1"/>
  <c r="H491" i="23" a="1"/>
  <c r="H491" i="23" s="1"/>
  <c r="B500" i="23"/>
  <c r="C500" i="23"/>
  <c r="D500" i="23"/>
  <c r="E500" i="23"/>
  <c r="F500" i="23"/>
  <c r="G500" i="23" a="1"/>
  <c r="G500" i="23" s="1"/>
  <c r="H500" i="23" a="1"/>
  <c r="H500" i="23" s="1"/>
  <c r="B509" i="23"/>
  <c r="C509" i="23"/>
  <c r="D509" i="23"/>
  <c r="E509" i="23"/>
  <c r="F509" i="23"/>
  <c r="G509" i="23" a="1"/>
  <c r="G509" i="23" s="1"/>
  <c r="H509" i="23" a="1"/>
  <c r="H509" i="23" s="1"/>
  <c r="B518" i="23"/>
  <c r="C518" i="23"/>
  <c r="D518" i="23"/>
  <c r="E518" i="23"/>
  <c r="F518" i="23"/>
  <c r="G518" i="23" a="1"/>
  <c r="G518" i="23" s="1"/>
  <c r="H518" i="23" a="1"/>
  <c r="H518" i="23" s="1"/>
  <c r="B527" i="23"/>
  <c r="C527" i="23"/>
  <c r="D527" i="23"/>
  <c r="E527" i="23"/>
  <c r="F527" i="23"/>
  <c r="G527" i="23" a="1"/>
  <c r="G527" i="23" s="1"/>
  <c r="H527" i="23" a="1"/>
  <c r="H527" i="23" s="1"/>
  <c r="B536" i="23"/>
  <c r="C536" i="23"/>
  <c r="D536" i="23"/>
  <c r="E536" i="23"/>
  <c r="F536" i="23"/>
  <c r="G536" i="23" a="1"/>
  <c r="G536" i="23" s="1"/>
  <c r="H536" i="23" a="1"/>
  <c r="H536" i="23" s="1"/>
  <c r="B545" i="23"/>
  <c r="C545" i="23"/>
  <c r="D545" i="23"/>
  <c r="E545" i="23"/>
  <c r="F545" i="23"/>
  <c r="G545" i="23" a="1"/>
  <c r="G545" i="23" s="1"/>
  <c r="H545" i="23" a="1"/>
  <c r="H545" i="23" s="1"/>
  <c r="B41" i="23"/>
  <c r="T36" i="10"/>
  <c r="H41" i="23" a="1"/>
  <c r="H41" i="23" s="1"/>
  <c r="F41" i="23"/>
  <c r="D41" i="23"/>
  <c r="C41" i="23"/>
  <c r="N40" i="23"/>
  <c r="L40" i="23"/>
  <c r="J40" i="23"/>
  <c r="N39" i="23"/>
  <c r="L39" i="23"/>
  <c r="J39" i="23"/>
  <c r="N38" i="23"/>
  <c r="L38" i="23"/>
  <c r="J38" i="23"/>
  <c r="C19" i="22"/>
  <c r="D19" i="22"/>
  <c r="E19" i="22"/>
  <c r="F19" i="22"/>
  <c r="G19" i="22"/>
  <c r="H19" i="22"/>
  <c r="I19" i="22"/>
  <c r="C16" i="22"/>
  <c r="D16" i="22"/>
  <c r="E16" i="22"/>
  <c r="F16" i="22"/>
  <c r="G16" i="22"/>
  <c r="H16" i="22"/>
  <c r="I16" i="22"/>
  <c r="B16" i="22"/>
  <c r="C13" i="22"/>
  <c r="D13" i="22"/>
  <c r="E13" i="22"/>
  <c r="F13" i="22"/>
  <c r="G13" i="22"/>
  <c r="H13" i="22"/>
  <c r="B13" i="22"/>
  <c r="E10" i="10"/>
  <c r="D9" i="10"/>
  <c r="C9" i="10"/>
  <c r="T39" i="10"/>
  <c r="T38" i="10"/>
  <c r="O69" i="23"/>
  <c r="O74" i="23" s="1"/>
  <c r="W180" i="10"/>
  <c r="W74" i="10"/>
  <c r="E13" i="10"/>
  <c r="Z77" i="10"/>
  <c r="Z78" i="10" s="1"/>
  <c r="C10" i="10"/>
  <c r="D10" i="10"/>
  <c r="R56" i="27" l="1"/>
  <c r="S55" i="27"/>
  <c r="T54" i="27" s="1"/>
  <c r="R53" i="10"/>
  <c r="D6" i="10"/>
  <c r="D5" i="10" s="1"/>
  <c r="E6" i="10"/>
  <c r="E5" i="10" s="1"/>
  <c r="Y101" i="10"/>
  <c r="Y102" i="10" s="1"/>
  <c r="Y145" i="10"/>
  <c r="Y146" i="10" s="1"/>
  <c r="Y74" i="10"/>
  <c r="Q74" i="10" s="1"/>
  <c r="P61" i="10"/>
  <c r="M340" i="23"/>
  <c r="I340" i="23" s="1"/>
  <c r="F31" i="23"/>
  <c r="E7" i="22" s="1"/>
  <c r="M140" i="23"/>
  <c r="M248" i="23"/>
  <c r="M95" i="23"/>
  <c r="K461" i="23"/>
  <c r="K460" i="23" s="1"/>
  <c r="O110" i="23"/>
  <c r="O109" i="23" s="1"/>
  <c r="K239" i="23"/>
  <c r="AA74" i="10"/>
  <c r="Z74" i="10"/>
  <c r="K491" i="23"/>
  <c r="I151" i="23"/>
  <c r="O167" i="23"/>
  <c r="K284" i="23"/>
  <c r="K509" i="23"/>
  <c r="M221" i="23"/>
  <c r="P85" i="24"/>
  <c r="M257" i="23"/>
  <c r="K92" i="23"/>
  <c r="K91" i="23" s="1"/>
  <c r="M176" i="23"/>
  <c r="O551" i="23"/>
  <c r="O550" i="23" s="1"/>
  <c r="O230" i="23"/>
  <c r="O392" i="23"/>
  <c r="K194" i="23"/>
  <c r="K185" i="23"/>
  <c r="M455" i="23"/>
  <c r="K545" i="23"/>
  <c r="K464" i="23"/>
  <c r="K452" i="23"/>
  <c r="K451" i="23" s="1"/>
  <c r="O509" i="23"/>
  <c r="K272" i="23"/>
  <c r="K271" i="23" s="1"/>
  <c r="P38" i="24"/>
  <c r="P39" i="24"/>
  <c r="K113" i="23"/>
  <c r="P97" i="24"/>
  <c r="P76" i="24"/>
  <c r="K164" i="23"/>
  <c r="K163" i="23" s="1"/>
  <c r="M194" i="23"/>
  <c r="M392" i="23"/>
  <c r="O455" i="23"/>
  <c r="K95" i="23"/>
  <c r="P126" i="24"/>
  <c r="O122" i="23"/>
  <c r="O140" i="23"/>
  <c r="M149" i="23"/>
  <c r="I313" i="23"/>
  <c r="K506" i="23"/>
  <c r="K505" i="23" s="1"/>
  <c r="I546" i="23"/>
  <c r="I545" i="23" s="1"/>
  <c r="O365" i="23"/>
  <c r="O176" i="23"/>
  <c r="K335" i="23"/>
  <c r="I335" i="23" s="1"/>
  <c r="I334" i="23" s="1"/>
  <c r="M482" i="23"/>
  <c r="B9" i="24"/>
  <c r="M122" i="23"/>
  <c r="O185" i="23"/>
  <c r="P104" i="24"/>
  <c r="I358" i="23"/>
  <c r="P111" i="24"/>
  <c r="P94" i="24"/>
  <c r="K533" i="23"/>
  <c r="K532" i="23" s="1"/>
  <c r="K263" i="23"/>
  <c r="K262" i="23" s="1"/>
  <c r="P53" i="24"/>
  <c r="I318" i="23"/>
  <c r="I191" i="23"/>
  <c r="I190" i="23" s="1"/>
  <c r="M518" i="23"/>
  <c r="I556" i="23"/>
  <c r="K473" i="23"/>
  <c r="I187" i="23"/>
  <c r="I249" i="23"/>
  <c r="I248" i="23" s="1"/>
  <c r="O500" i="23"/>
  <c r="P78" i="24"/>
  <c r="F20" i="26"/>
  <c r="K227" i="23"/>
  <c r="K226" i="23" s="1"/>
  <c r="B8" i="24"/>
  <c r="P79" i="24"/>
  <c r="P129" i="24"/>
  <c r="K212" i="23"/>
  <c r="P113" i="24"/>
  <c r="P63" i="10"/>
  <c r="I357" i="23"/>
  <c r="I356" i="23" s="1"/>
  <c r="O113" i="23"/>
  <c r="K561" i="23"/>
  <c r="I561" i="23" s="1"/>
  <c r="P120" i="24"/>
  <c r="P35" i="24"/>
  <c r="K131" i="23"/>
  <c r="M374" i="23"/>
  <c r="P73" i="24"/>
  <c r="M533" i="23"/>
  <c r="M532" i="23" s="1"/>
  <c r="I184" i="23"/>
  <c r="P58" i="24"/>
  <c r="P47" i="24"/>
  <c r="P118" i="24"/>
  <c r="P116" i="24"/>
  <c r="P106" i="24"/>
  <c r="P101" i="24"/>
  <c r="P99" i="24"/>
  <c r="P92" i="24"/>
  <c r="P89" i="24"/>
  <c r="P87" i="24"/>
  <c r="P82" i="24"/>
  <c r="K182" i="23"/>
  <c r="K181" i="23" s="1"/>
  <c r="O329" i="23"/>
  <c r="D13" i="24"/>
  <c r="P108" i="24"/>
  <c r="P96" i="24"/>
  <c r="P84" i="24"/>
  <c r="O482" i="23"/>
  <c r="M554" i="23"/>
  <c r="O452" i="23"/>
  <c r="O451" i="23" s="1"/>
  <c r="I178" i="23"/>
  <c r="I285" i="23"/>
  <c r="I284" i="23" s="1"/>
  <c r="K365" i="23"/>
  <c r="M281" i="23"/>
  <c r="M280" i="23" s="1"/>
  <c r="O266" i="23"/>
  <c r="P60" i="24"/>
  <c r="I516" i="23"/>
  <c r="I170" i="23"/>
  <c r="I394" i="23"/>
  <c r="K362" i="23"/>
  <c r="K361" i="23" s="1"/>
  <c r="O254" i="23"/>
  <c r="O253" i="23" s="1"/>
  <c r="I260" i="23"/>
  <c r="P114" i="24"/>
  <c r="P102" i="24"/>
  <c r="P119" i="24"/>
  <c r="O284" i="23"/>
  <c r="I291" i="23"/>
  <c r="I116" i="23"/>
  <c r="P40" i="24"/>
  <c r="P70" i="24"/>
  <c r="P131" i="24"/>
  <c r="I268" i="23"/>
  <c r="M551" i="23"/>
  <c r="M550" i="23" s="1"/>
  <c r="I519" i="23"/>
  <c r="I518" i="23" s="1"/>
  <c r="M452" i="23"/>
  <c r="M451" i="23" s="1"/>
  <c r="I286" i="23"/>
  <c r="P52" i="24"/>
  <c r="P75" i="24"/>
  <c r="M419" i="23"/>
  <c r="P42" i="24"/>
  <c r="O212" i="23"/>
  <c r="K149" i="23"/>
  <c r="O158" i="23"/>
  <c r="M203" i="23"/>
  <c r="M563" i="23"/>
  <c r="P54" i="24"/>
  <c r="P65" i="24"/>
  <c r="O245" i="23"/>
  <c r="O244" i="23" s="1"/>
  <c r="O491" i="23"/>
  <c r="K425" i="23"/>
  <c r="K424" i="23" s="1"/>
  <c r="I566" i="23"/>
  <c r="I364" i="23"/>
  <c r="K218" i="23"/>
  <c r="K217" i="23" s="1"/>
  <c r="I273" i="23"/>
  <c r="K496" i="23"/>
  <c r="I497" i="23"/>
  <c r="I496" i="23" s="1"/>
  <c r="F29" i="23"/>
  <c r="E5" i="22" s="1"/>
  <c r="D13" i="10"/>
  <c r="P45" i="24"/>
  <c r="P67" i="24"/>
  <c r="P128" i="24"/>
  <c r="K560" i="23"/>
  <c r="K559" i="23" s="1"/>
  <c r="I157" i="23"/>
  <c r="O155" i="23"/>
  <c r="O154" i="23" s="1"/>
  <c r="K398" i="23"/>
  <c r="K397" i="23" s="1"/>
  <c r="P41" i="24"/>
  <c r="P91" i="24"/>
  <c r="D29" i="23"/>
  <c r="C5" i="22" s="1"/>
  <c r="C13" i="10"/>
  <c r="P55" i="24"/>
  <c r="P44" i="24"/>
  <c r="P42" i="10"/>
  <c r="I200" i="23"/>
  <c r="I199" i="23" s="1"/>
  <c r="I231" i="23"/>
  <c r="I230" i="23" s="1"/>
  <c r="I93" i="23"/>
  <c r="M164" i="23"/>
  <c r="I303" i="23"/>
  <c r="I267" i="23"/>
  <c r="I266" i="23" s="1"/>
  <c r="I179" i="23"/>
  <c r="O563" i="23"/>
  <c r="I520" i="23"/>
  <c r="I156" i="23"/>
  <c r="I314" i="23"/>
  <c r="I120" i="23"/>
  <c r="M239" i="23"/>
  <c r="K230" i="23"/>
  <c r="I475" i="23"/>
  <c r="I165" i="23"/>
  <c r="I240" i="23"/>
  <c r="I239" i="23" s="1"/>
  <c r="I367" i="23"/>
  <c r="P61" i="24"/>
  <c r="P122" i="24"/>
  <c r="K399" i="23"/>
  <c r="I399" i="23" s="1"/>
  <c r="I562" i="23"/>
  <c r="I526" i="23"/>
  <c r="I488" i="23"/>
  <c r="I487" i="23" s="1"/>
  <c r="I481" i="23"/>
  <c r="I382" i="23"/>
  <c r="I195" i="23"/>
  <c r="I194" i="23" s="1"/>
  <c r="I565" i="23"/>
  <c r="O518" i="23"/>
  <c r="I139" i="23"/>
  <c r="M290" i="23"/>
  <c r="M289" i="23" s="1"/>
  <c r="O536" i="23"/>
  <c r="P72" i="24"/>
  <c r="I219" i="23"/>
  <c r="I456" i="23"/>
  <c r="I455" i="23" s="1"/>
  <c r="I420" i="23"/>
  <c r="I419" i="23" s="1"/>
  <c r="K518" i="23"/>
  <c r="M284" i="23"/>
  <c r="O479" i="23"/>
  <c r="O478" i="23" s="1"/>
  <c r="O317" i="23"/>
  <c r="O316" i="23" s="1"/>
  <c r="M230" i="23"/>
  <c r="P62" i="24"/>
  <c r="P123" i="24"/>
  <c r="O362" i="23"/>
  <c r="O361" i="23" s="1"/>
  <c r="K524" i="23"/>
  <c r="K523" i="23" s="1"/>
  <c r="O194" i="23"/>
  <c r="I150" i="23"/>
  <c r="I149" i="23" s="1"/>
  <c r="I570" i="23"/>
  <c r="I539" i="23"/>
  <c r="I537" i="23"/>
  <c r="I536" i="23" s="1"/>
  <c r="I490" i="23"/>
  <c r="I395" i="23"/>
  <c r="I548" i="23"/>
  <c r="I492" i="23"/>
  <c r="I491" i="23" s="1"/>
  <c r="K183" i="23"/>
  <c r="I183" i="23" s="1"/>
  <c r="I380" i="23"/>
  <c r="I379" i="23" s="1"/>
  <c r="I128" i="23"/>
  <c r="I127" i="23" s="1"/>
  <c r="K127" i="23"/>
  <c r="M154" i="23"/>
  <c r="I544" i="23"/>
  <c r="I499" i="23"/>
  <c r="I210" i="23"/>
  <c r="K122" i="23"/>
  <c r="I557" i="23"/>
  <c r="P103" i="24"/>
  <c r="I147" i="23"/>
  <c r="D6" i="24"/>
  <c r="P56" i="10"/>
  <c r="P117" i="24"/>
  <c r="P112" i="24"/>
  <c r="P110" i="24"/>
  <c r="P107" i="24"/>
  <c r="P105" i="24"/>
  <c r="P100" i="24"/>
  <c r="P98" i="24"/>
  <c r="P93" i="24"/>
  <c r="P88" i="24"/>
  <c r="P86" i="24"/>
  <c r="D10" i="24"/>
  <c r="P74" i="24"/>
  <c r="I129" i="23"/>
  <c r="I247" i="23"/>
  <c r="I101" i="23"/>
  <c r="I100" i="23" s="1"/>
  <c r="I236" i="23"/>
  <c r="I235" i="23" s="1"/>
  <c r="O293" i="23"/>
  <c r="K536" i="23"/>
  <c r="I159" i="23"/>
  <c r="I158" i="23" s="1"/>
  <c r="I160" i="23"/>
  <c r="I278" i="23"/>
  <c r="M329" i="23"/>
  <c r="M525" i="23"/>
  <c r="I525" i="23" s="1"/>
  <c r="O571" i="23"/>
  <c r="I571" i="23" s="1"/>
  <c r="P77" i="24"/>
  <c r="I125" i="23"/>
  <c r="I148" i="23"/>
  <c r="I332" i="23"/>
  <c r="I238" i="23"/>
  <c r="F30" i="23"/>
  <c r="E6" i="22" s="1"/>
  <c r="I454" i="23"/>
  <c r="I553" i="23"/>
  <c r="I466" i="23"/>
  <c r="I220" i="23"/>
  <c r="I196" i="23"/>
  <c r="I88" i="23"/>
  <c r="O464" i="23"/>
  <c r="I105" i="23"/>
  <c r="I104" i="23" s="1"/>
  <c r="I458" i="23"/>
  <c r="O374" i="23"/>
  <c r="C6" i="10"/>
  <c r="P66" i="24"/>
  <c r="I447" i="23"/>
  <c r="I446" i="23" s="1"/>
  <c r="I228" i="23"/>
  <c r="P115" i="24"/>
  <c r="I96" i="23"/>
  <c r="I95" i="23" s="1"/>
  <c r="I331" i="23"/>
  <c r="M509" i="23"/>
  <c r="I483" i="23"/>
  <c r="I482" i="23" s="1"/>
  <c r="K319" i="23"/>
  <c r="I319" i="23" s="1"/>
  <c r="I485" i="23"/>
  <c r="P56" i="24"/>
  <c r="I534" i="23"/>
  <c r="I224" i="23"/>
  <c r="I223" i="23"/>
  <c r="I264" i="23"/>
  <c r="I269" i="23"/>
  <c r="I130" i="23"/>
  <c r="P43" i="24"/>
  <c r="K199" i="23"/>
  <c r="I123" i="23"/>
  <c r="I122" i="23" s="1"/>
  <c r="I276" i="23"/>
  <c r="I275" i="23" s="1"/>
  <c r="K482" i="23"/>
  <c r="O410" i="23"/>
  <c r="I169" i="23"/>
  <c r="M265" i="23"/>
  <c r="I265" i="23" s="1"/>
  <c r="I515" i="23"/>
  <c r="I514" i="23" s="1"/>
  <c r="K374" i="23"/>
  <c r="K190" i="23"/>
  <c r="I204" i="23"/>
  <c r="I203" i="23" s="1"/>
  <c r="I521" i="23"/>
  <c r="M491" i="23"/>
  <c r="I503" i="23"/>
  <c r="I282" i="23"/>
  <c r="P46" i="24"/>
  <c r="P57" i="24"/>
  <c r="I102" i="23"/>
  <c r="I206" i="23"/>
  <c r="I256" i="23"/>
  <c r="E141" i="26"/>
  <c r="I530" i="23"/>
  <c r="I111" i="23"/>
  <c r="I376" i="23"/>
  <c r="P124" i="24"/>
  <c r="I375" i="23"/>
  <c r="I374" i="23" s="1"/>
  <c r="O275" i="23"/>
  <c r="I103" i="23"/>
  <c r="I137" i="23"/>
  <c r="I136" i="23" s="1"/>
  <c r="I246" i="23"/>
  <c r="F24" i="23" a="1"/>
  <c r="F24" i="23" s="1"/>
  <c r="I381" i="23"/>
  <c r="K175" i="23"/>
  <c r="I175" i="23" s="1"/>
  <c r="I359" i="23"/>
  <c r="I510" i="23"/>
  <c r="I509" i="23" s="1"/>
  <c r="O95" i="23"/>
  <c r="K275" i="23"/>
  <c r="O203" i="23"/>
  <c r="I547" i="23"/>
  <c r="I132" i="23"/>
  <c r="I131" i="23" s="1"/>
  <c r="I493" i="23"/>
  <c r="I462" i="23"/>
  <c r="I192" i="23"/>
  <c r="I372" i="23"/>
  <c r="I292" i="23"/>
  <c r="I494" i="23"/>
  <c r="P64" i="24"/>
  <c r="I498" i="23"/>
  <c r="D14" i="24"/>
  <c r="P36" i="24"/>
  <c r="P37" i="24"/>
  <c r="M266" i="23"/>
  <c r="O419" i="23"/>
  <c r="O86" i="23"/>
  <c r="I449" i="23"/>
  <c r="I133" i="23"/>
  <c r="M104" i="23"/>
  <c r="P48" i="24"/>
  <c r="P59" i="24"/>
  <c r="I507" i="23"/>
  <c r="I457" i="23"/>
  <c r="I177" i="23"/>
  <c r="I176" i="23" s="1"/>
  <c r="M352" i="23"/>
  <c r="I277" i="23"/>
  <c r="I138" i="23"/>
  <c r="I237" i="23"/>
  <c r="K104" i="23"/>
  <c r="I241" i="23"/>
  <c r="I283" i="23"/>
  <c r="K203" i="23"/>
  <c r="M131" i="23"/>
  <c r="I422" i="23"/>
  <c r="P49" i="24"/>
  <c r="I377" i="23"/>
  <c r="I366" i="23"/>
  <c r="I365" i="23" s="1"/>
  <c r="I255" i="23"/>
  <c r="M109" i="23"/>
  <c r="I209" i="23"/>
  <c r="I208" i="23" s="1"/>
  <c r="K208" i="23"/>
  <c r="I508" i="23"/>
  <c r="I427" i="23"/>
  <c r="M478" i="23"/>
  <c r="M559" i="23"/>
  <c r="I453" i="23"/>
  <c r="M91" i="23"/>
  <c r="I472" i="23"/>
  <c r="O136" i="23"/>
  <c r="I121" i="23"/>
  <c r="I421" i="23"/>
  <c r="I555" i="23"/>
  <c r="I554" i="23" s="1"/>
  <c r="I174" i="23"/>
  <c r="I114" i="23"/>
  <c r="I113" i="23" s="1"/>
  <c r="I98" i="23"/>
  <c r="M274" i="23"/>
  <c r="I274" i="23" s="1"/>
  <c r="P50" i="24"/>
  <c r="I233" i="23"/>
  <c r="P69" i="24"/>
  <c r="P127" i="24"/>
  <c r="H88" i="26"/>
  <c r="I465" i="23"/>
  <c r="I464" i="23" s="1"/>
  <c r="I232" i="23"/>
  <c r="I330" i="23"/>
  <c r="I329" i="23" s="1"/>
  <c r="I538" i="23"/>
  <c r="O552" i="23"/>
  <c r="I552" i="23" s="1"/>
  <c r="P95" i="24"/>
  <c r="P83" i="24"/>
  <c r="P62" i="10"/>
  <c r="I251" i="23"/>
  <c r="P51" i="24"/>
  <c r="M464" i="23"/>
  <c r="I543" i="23"/>
  <c r="R38" i="10"/>
  <c r="P38" i="10" s="1"/>
  <c r="I168" i="23"/>
  <c r="I167" i="23" s="1"/>
  <c r="K379" i="23"/>
  <c r="I512" i="23"/>
  <c r="O131" i="23"/>
  <c r="K320" i="23"/>
  <c r="I484" i="23"/>
  <c r="I529" i="23"/>
  <c r="I107" i="23"/>
  <c r="P71" i="24"/>
  <c r="P80" i="24"/>
  <c r="O218" i="23"/>
  <c r="O217" i="23" s="1"/>
  <c r="I202" i="23"/>
  <c r="P90" i="24"/>
  <c r="R45" i="10"/>
  <c r="P45" i="10" s="1"/>
  <c r="I115" i="23"/>
  <c r="I161" i="23"/>
  <c r="M211" i="23"/>
  <c r="I211" i="23" s="1"/>
  <c r="I201" i="23"/>
  <c r="I97" i="23"/>
  <c r="O533" i="23"/>
  <c r="M371" i="23"/>
  <c r="M370" i="23" s="1"/>
  <c r="K347" i="23"/>
  <c r="P81" i="24"/>
  <c r="I474" i="23"/>
  <c r="I473" i="23" s="1"/>
  <c r="I214" i="23"/>
  <c r="I471" i="23"/>
  <c r="K487" i="23"/>
  <c r="K229" i="23"/>
  <c r="I229" i="23" s="1"/>
  <c r="I393" i="23"/>
  <c r="I392" i="23" s="1"/>
  <c r="I250" i="23"/>
  <c r="I528" i="23"/>
  <c r="I527" i="23" s="1"/>
  <c r="I242" i="23"/>
  <c r="I186" i="23"/>
  <c r="I185" i="23" s="1"/>
  <c r="M70" i="23"/>
  <c r="M68" i="23" s="1"/>
  <c r="I193" i="23"/>
  <c r="P109" i="24"/>
  <c r="I112" i="23"/>
  <c r="I511" i="23"/>
  <c r="I205" i="23"/>
  <c r="K173" i="23"/>
  <c r="I363" i="23"/>
  <c r="I197" i="23"/>
  <c r="M185" i="23"/>
  <c r="I152" i="23"/>
  <c r="I134" i="23"/>
  <c r="I124" i="23"/>
  <c r="O337" i="23"/>
  <c r="I337" i="23" s="1"/>
  <c r="C10" i="24"/>
  <c r="P130" i="24"/>
  <c r="I535" i="23"/>
  <c r="K480" i="23"/>
  <c r="I480" i="23" s="1"/>
  <c r="I463" i="23"/>
  <c r="AA83" i="10"/>
  <c r="AA84" i="10" s="1"/>
  <c r="AA127" i="10"/>
  <c r="AA128" i="10" s="1"/>
  <c r="E31" i="23" s="1"/>
  <c r="D7" i="22" s="1"/>
  <c r="O257" i="23"/>
  <c r="I501" i="23"/>
  <c r="I500" i="23" s="1"/>
  <c r="O226" i="23"/>
  <c r="AA165" i="10"/>
  <c r="AA166" i="10" s="1"/>
  <c r="M29" i="23" s="1"/>
  <c r="M500" i="23"/>
  <c r="M24" i="23" a="1"/>
  <c r="M24" i="23" s="1"/>
  <c r="I448" i="23"/>
  <c r="I336" i="23"/>
  <c r="I94" i="23"/>
  <c r="P63" i="24"/>
  <c r="P121" i="24"/>
  <c r="I517" i="23"/>
  <c r="I476" i="23"/>
  <c r="I287" i="23"/>
  <c r="I502" i="23"/>
  <c r="I259" i="23"/>
  <c r="AA77" i="10"/>
  <c r="AA78" i="10" s="1"/>
  <c r="M86" i="23"/>
  <c r="O554" i="23"/>
  <c r="I142" i="23"/>
  <c r="I467" i="23"/>
  <c r="M113" i="23"/>
  <c r="I143" i="23"/>
  <c r="K550" i="23"/>
  <c r="M317" i="23"/>
  <c r="M316" i="23" s="1"/>
  <c r="I188" i="23"/>
  <c r="M167" i="23"/>
  <c r="I87" i="23"/>
  <c r="I86" i="23" s="1"/>
  <c r="I400" i="23"/>
  <c r="E88" i="26"/>
  <c r="I258" i="23"/>
  <c r="I257" i="23" s="1"/>
  <c r="I312" i="23"/>
  <c r="I311" i="23" s="1"/>
  <c r="M473" i="23"/>
  <c r="I89" i="23"/>
  <c r="O424" i="23"/>
  <c r="I323" i="23"/>
  <c r="I404" i="23"/>
  <c r="M320" i="23"/>
  <c r="I339" i="23"/>
  <c r="I429" i="23"/>
  <c r="P39" i="10"/>
  <c r="P60" i="10"/>
  <c r="P58" i="10"/>
  <c r="P51" i="10"/>
  <c r="I403" i="23"/>
  <c r="I349" i="23"/>
  <c r="I321" i="23"/>
  <c r="I78" i="23"/>
  <c r="L24" i="23" a="1"/>
  <c r="L24" i="23" s="1"/>
  <c r="F23" i="23" a="1"/>
  <c r="F23" i="23" s="1"/>
  <c r="I440" i="23"/>
  <c r="K59" i="23"/>
  <c r="D23" i="23" a="1"/>
  <c r="D23" i="23" s="1"/>
  <c r="O354" i="23"/>
  <c r="I354" i="23" s="1"/>
  <c r="D24" i="23" a="1"/>
  <c r="D24" i="23" s="1"/>
  <c r="O326" i="23"/>
  <c r="O325" i="23" s="1"/>
  <c r="L23" i="23" a="1"/>
  <c r="L23" i="23" s="1"/>
  <c r="O320" i="23"/>
  <c r="E24" i="23" a="1"/>
  <c r="E24" i="23" s="1"/>
  <c r="K77" i="23"/>
  <c r="D32" i="23"/>
  <c r="C8" i="22" s="1"/>
  <c r="E32" i="23"/>
  <c r="D8" i="22" s="1"/>
  <c r="F32" i="23"/>
  <c r="E8" i="22" s="1"/>
  <c r="K410" i="23"/>
  <c r="K437" i="23"/>
  <c r="O347" i="23"/>
  <c r="O39" i="23"/>
  <c r="O48" i="23"/>
  <c r="O46" i="23" s="1"/>
  <c r="I67" i="23"/>
  <c r="K298" i="23"/>
  <c r="I301" i="23"/>
  <c r="M38" i="23"/>
  <c r="M37" i="23" s="1"/>
  <c r="I384" i="23"/>
  <c r="M293" i="23"/>
  <c r="AB75" i="10"/>
  <c r="P59" i="10"/>
  <c r="N30" i="23"/>
  <c r="M410" i="23"/>
  <c r="O437" i="23"/>
  <c r="O401" i="23"/>
  <c r="I417" i="23"/>
  <c r="I386" i="23"/>
  <c r="I341" i="23"/>
  <c r="I443" i="23"/>
  <c r="I348" i="23"/>
  <c r="M77" i="23"/>
  <c r="M437" i="23"/>
  <c r="O442" i="23"/>
  <c r="I402" i="23"/>
  <c r="I80" i="23"/>
  <c r="M347" i="23"/>
  <c r="I431" i="23"/>
  <c r="K401" i="23"/>
  <c r="M32" i="23"/>
  <c r="O40" i="23"/>
  <c r="C14" i="10"/>
  <c r="O433" i="23"/>
  <c r="I413" i="23"/>
  <c r="P52" i="10"/>
  <c r="P43" i="10"/>
  <c r="L32" i="23"/>
  <c r="K442" i="23"/>
  <c r="M307" i="23"/>
  <c r="I310" i="23"/>
  <c r="I350" i="23"/>
  <c r="D16" i="23" a="1"/>
  <c r="D16" i="23" s="1"/>
  <c r="O353" i="23"/>
  <c r="I353" i="23" s="1"/>
  <c r="I60" i="23"/>
  <c r="M406" i="23"/>
  <c r="M55" i="23"/>
  <c r="I416" i="23"/>
  <c r="D30" i="23"/>
  <c r="C6" i="22" s="1"/>
  <c r="K428" i="23"/>
  <c r="O58" i="23"/>
  <c r="I58" i="23" s="1"/>
  <c r="M300" i="23"/>
  <c r="M298" i="23" s="1"/>
  <c r="I296" i="23"/>
  <c r="I438" i="23"/>
  <c r="I411" i="23"/>
  <c r="K383" i="23"/>
  <c r="M346" i="23"/>
  <c r="AB81" i="10"/>
  <c r="K343" i="23"/>
  <c r="O50" i="23"/>
  <c r="I62" i="23"/>
  <c r="M415" i="23"/>
  <c r="K302" i="23"/>
  <c r="M401" i="23"/>
  <c r="I53" i="23"/>
  <c r="I390" i="23"/>
  <c r="M383" i="23"/>
  <c r="I305" i="23"/>
  <c r="M85" i="23"/>
  <c r="I85" i="23" s="1"/>
  <c r="I430" i="23"/>
  <c r="I294" i="23"/>
  <c r="O383" i="23"/>
  <c r="I304" i="23"/>
  <c r="M428" i="23"/>
  <c r="M84" i="23"/>
  <c r="W75" i="10"/>
  <c r="K352" i="23"/>
  <c r="L22" i="23" a="1"/>
  <c r="L22" i="23" s="1"/>
  <c r="L29" i="23"/>
  <c r="M391" i="23"/>
  <c r="M388" i="23" s="1"/>
  <c r="I49" i="23"/>
  <c r="K406" i="23"/>
  <c r="B11" i="10"/>
  <c r="D17" i="23" a="1"/>
  <c r="D17" i="23" s="1"/>
  <c r="I322" i="23"/>
  <c r="E22" i="23" a="1"/>
  <c r="E22" i="23" s="1"/>
  <c r="I344" i="23"/>
  <c r="M65" i="23"/>
  <c r="M64" i="23" s="1"/>
  <c r="I295" i="23"/>
  <c r="M59" i="23"/>
  <c r="I299" i="23"/>
  <c r="K338" i="23"/>
  <c r="F22" i="23" a="1"/>
  <c r="F22" i="23" s="1"/>
  <c r="M302" i="23"/>
  <c r="I69" i="23"/>
  <c r="K293" i="23"/>
  <c r="K307" i="23"/>
  <c r="I79" i="23"/>
  <c r="I412" i="23"/>
  <c r="I385" i="23"/>
  <c r="O68" i="23"/>
  <c r="I51" i="23"/>
  <c r="I409" i="23"/>
  <c r="L30" i="23"/>
  <c r="O388" i="23"/>
  <c r="I389" i="23"/>
  <c r="M325" i="23"/>
  <c r="I445" i="23"/>
  <c r="M442" i="23"/>
  <c r="I434" i="23"/>
  <c r="M433" i="23"/>
  <c r="O298" i="23"/>
  <c r="I355" i="23"/>
  <c r="K325" i="23"/>
  <c r="I327" i="23"/>
  <c r="I408" i="23"/>
  <c r="K433" i="23"/>
  <c r="I435" i="23"/>
  <c r="O56" i="23"/>
  <c r="P37" i="10"/>
  <c r="L31" i="23"/>
  <c r="P54" i="10"/>
  <c r="P71" i="10"/>
  <c r="P73" i="10"/>
  <c r="I309" i="23"/>
  <c r="I71" i="23"/>
  <c r="B8" i="10"/>
  <c r="P55" i="10"/>
  <c r="I43" i="23"/>
  <c r="P57" i="10"/>
  <c r="I444" i="23"/>
  <c r="O428" i="23"/>
  <c r="P72" i="10"/>
  <c r="M31" i="23"/>
  <c r="P70" i="10"/>
  <c r="P68" i="10"/>
  <c r="I436" i="23"/>
  <c r="O41" i="23"/>
  <c r="P44" i="10"/>
  <c r="M40" i="23"/>
  <c r="P36" i="10"/>
  <c r="K56" i="23"/>
  <c r="M46" i="23"/>
  <c r="K82" i="23"/>
  <c r="K65" i="23"/>
  <c r="E29" i="23"/>
  <c r="D5" i="22" s="1"/>
  <c r="I439" i="23"/>
  <c r="D31" i="23"/>
  <c r="P69" i="10"/>
  <c r="O64" i="23"/>
  <c r="O406" i="23"/>
  <c r="W181" i="10"/>
  <c r="M50" i="23"/>
  <c r="B9" i="10"/>
  <c r="O59" i="23"/>
  <c r="F17" i="23" a="1"/>
  <c r="F17" i="23" s="1"/>
  <c r="O415" i="23"/>
  <c r="B10" i="10"/>
  <c r="N24" i="23" a="1"/>
  <c r="N24" i="23" s="1"/>
  <c r="N22" i="23" a="1"/>
  <c r="N22" i="23" s="1"/>
  <c r="P49" i="10"/>
  <c r="E17" i="23" a="1"/>
  <c r="E17" i="23" s="1"/>
  <c r="E15" i="23" a="1"/>
  <c r="E15" i="23" s="1"/>
  <c r="P50" i="10"/>
  <c r="N31" i="23"/>
  <c r="N32" i="23"/>
  <c r="AC75" i="10"/>
  <c r="M218" i="23"/>
  <c r="M217" i="23" s="1"/>
  <c r="I213" i="23"/>
  <c r="M30" i="23"/>
  <c r="AB125" i="10"/>
  <c r="E30" i="23" s="1"/>
  <c r="P68" i="24"/>
  <c r="C13" i="24"/>
  <c r="I564" i="23"/>
  <c r="I563" i="23" s="1"/>
  <c r="K569" i="23"/>
  <c r="K563" i="23"/>
  <c r="B7" i="10"/>
  <c r="O83" i="23"/>
  <c r="O77" i="23"/>
  <c r="O38" i="23"/>
  <c r="O37" i="23" s="1"/>
  <c r="O308" i="23"/>
  <c r="O307" i="23" s="1"/>
  <c r="O302" i="23"/>
  <c r="P47" i="10"/>
  <c r="K254" i="23"/>
  <c r="K38" i="23"/>
  <c r="K37" i="23" s="1"/>
  <c r="K280" i="23"/>
  <c r="O73" i="23"/>
  <c r="K40" i="23"/>
  <c r="K41" i="23"/>
  <c r="C14" i="24"/>
  <c r="M362" i="23"/>
  <c r="M356" i="23"/>
  <c r="Y93" i="10"/>
  <c r="O221" i="23"/>
  <c r="I222" i="23"/>
  <c r="I221" i="23" s="1"/>
  <c r="X93" i="10"/>
  <c r="X75" i="10"/>
  <c r="M373" i="23"/>
  <c r="I373" i="23" s="1"/>
  <c r="I368" i="23"/>
  <c r="K76" i="23"/>
  <c r="I76" i="23" s="1"/>
  <c r="I44" i="23"/>
  <c r="O469" i="23"/>
  <c r="I470" i="23"/>
  <c r="I469" i="23" s="1"/>
  <c r="K39" i="23"/>
  <c r="F15" i="23" a="1"/>
  <c r="F15" i="23" s="1"/>
  <c r="K57" i="23"/>
  <c r="I57" i="23" s="1"/>
  <c r="I52" i="23"/>
  <c r="K50" i="23"/>
  <c r="P35" i="10"/>
  <c r="M22" i="23" a="1"/>
  <c r="M22" i="23" s="1"/>
  <c r="M41" i="23"/>
  <c r="K68" i="23"/>
  <c r="P46" i="10"/>
  <c r="C6" i="24"/>
  <c r="I119" i="23"/>
  <c r="I118" i="23" s="1"/>
  <c r="M212" i="23"/>
  <c r="K46" i="23"/>
  <c r="I47" i="23"/>
  <c r="I74" i="23"/>
  <c r="P48" i="10"/>
  <c r="Z75" i="10"/>
  <c r="I215" i="23"/>
  <c r="O346" i="23"/>
  <c r="O343" i="23" s="1"/>
  <c r="O338" i="23"/>
  <c r="D7" i="24"/>
  <c r="P125" i="24"/>
  <c r="F6" i="26"/>
  <c r="I426" i="23"/>
  <c r="K418" i="23"/>
  <c r="AE75" i="10"/>
  <c r="K66" i="23"/>
  <c r="I61" i="23"/>
  <c r="C7" i="24"/>
  <c r="M536" i="23"/>
  <c r="M542" i="23"/>
  <c r="I166" i="23"/>
  <c r="I407" i="23"/>
  <c r="K388" i="23"/>
  <c r="I328" i="23"/>
  <c r="I42" i="23"/>
  <c r="I106" i="23"/>
  <c r="K146" i="23"/>
  <c r="I141" i="23"/>
  <c r="I140" i="23" s="1"/>
  <c r="I489" i="23"/>
  <c r="K317" i="23"/>
  <c r="K311" i="23"/>
  <c r="T39" i="27" l="1"/>
  <c r="T38" i="27" s="1"/>
  <c r="B6" i="10"/>
  <c r="AD165" i="10"/>
  <c r="S53" i="10"/>
  <c r="AD77" i="10"/>
  <c r="AD74" i="10"/>
  <c r="S74" i="10" s="1"/>
  <c r="M338" i="23"/>
  <c r="M345" i="23"/>
  <c r="M343" i="23" s="1"/>
  <c r="D22" i="23" a="1"/>
  <c r="D22" i="23" s="1"/>
  <c r="D21" i="23" s="1"/>
  <c r="Y75" i="10"/>
  <c r="D15" i="23" a="1"/>
  <c r="D15" i="23" s="1"/>
  <c r="D14" i="23" s="1"/>
  <c r="I461" i="23"/>
  <c r="I460" i="23" s="1"/>
  <c r="I272" i="23"/>
  <c r="I271" i="23" s="1"/>
  <c r="I110" i="23"/>
  <c r="I109" i="23" s="1"/>
  <c r="I92" i="23"/>
  <c r="I91" i="23" s="1"/>
  <c r="R74" i="10"/>
  <c r="I300" i="23"/>
  <c r="I298" i="23" s="1"/>
  <c r="I263" i="23"/>
  <c r="I262" i="23" s="1"/>
  <c r="I227" i="23"/>
  <c r="I226" i="23" s="1"/>
  <c r="K334" i="23"/>
  <c r="C12" i="10"/>
  <c r="B14" i="24"/>
  <c r="M39" i="23"/>
  <c r="I182" i="23"/>
  <c r="I181" i="23" s="1"/>
  <c r="I371" i="23"/>
  <c r="I370" i="23" s="1"/>
  <c r="I245" i="23"/>
  <c r="I244" i="23" s="1"/>
  <c r="I281" i="23"/>
  <c r="I280" i="23" s="1"/>
  <c r="D12" i="24"/>
  <c r="I506" i="23"/>
  <c r="I505" i="23" s="1"/>
  <c r="I290" i="23"/>
  <c r="I289" i="23" s="1"/>
  <c r="I401" i="23"/>
  <c r="B13" i="10"/>
  <c r="I452" i="23"/>
  <c r="I451" i="23" s="1"/>
  <c r="I524" i="23"/>
  <c r="I523" i="23" s="1"/>
  <c r="I59" i="23"/>
  <c r="I425" i="23"/>
  <c r="I424" i="23" s="1"/>
  <c r="D5" i="24"/>
  <c r="I551" i="23"/>
  <c r="I550" i="23" s="1"/>
  <c r="I560" i="23"/>
  <c r="I559" i="23" s="1"/>
  <c r="I164" i="23"/>
  <c r="I163" i="23" s="1"/>
  <c r="M163" i="23"/>
  <c r="D14" i="10"/>
  <c r="D12" i="10" s="1"/>
  <c r="C5" i="10"/>
  <c r="I479" i="23"/>
  <c r="I478" i="23" s="1"/>
  <c r="J4" i="10"/>
  <c r="B8" i="22"/>
  <c r="I155" i="23"/>
  <c r="I154" i="23" s="1"/>
  <c r="B10" i="24"/>
  <c r="I398" i="23"/>
  <c r="I397" i="23" s="1"/>
  <c r="I218" i="23"/>
  <c r="I217" i="23" s="1"/>
  <c r="I383" i="23"/>
  <c r="I433" i="23"/>
  <c r="E9" i="22"/>
  <c r="I320" i="23"/>
  <c r="M75" i="23"/>
  <c r="I75" i="23" s="1"/>
  <c r="I73" i="23" s="1"/>
  <c r="I326" i="23"/>
  <c r="I325" i="23" s="1"/>
  <c r="E23" i="23" a="1"/>
  <c r="E23" i="23" s="1"/>
  <c r="C23" i="23" s="1"/>
  <c r="I391" i="23"/>
  <c r="I388" i="23" s="1"/>
  <c r="K24" i="23"/>
  <c r="C31" i="23"/>
  <c r="I70" i="23"/>
  <c r="I68" i="23" s="1"/>
  <c r="M82" i="23"/>
  <c r="C24" i="23"/>
  <c r="K172" i="23"/>
  <c r="I173" i="23"/>
  <c r="I172" i="23" s="1"/>
  <c r="I84" i="23"/>
  <c r="I338" i="23"/>
  <c r="F28" i="23"/>
  <c r="M23" i="23" a="1"/>
  <c r="M23" i="23" s="1"/>
  <c r="C32" i="23"/>
  <c r="F21" i="23"/>
  <c r="O532" i="23"/>
  <c r="I533" i="23"/>
  <c r="I532" i="23" s="1"/>
  <c r="AA75" i="10"/>
  <c r="E16" i="23" a="1"/>
  <c r="E16" i="23" s="1"/>
  <c r="E14" i="23" s="1"/>
  <c r="K32" i="23"/>
  <c r="C7" i="22"/>
  <c r="B7" i="22" s="1"/>
  <c r="I77" i="23"/>
  <c r="L21" i="23"/>
  <c r="I48" i="23"/>
  <c r="I46" i="23" s="1"/>
  <c r="I406" i="23"/>
  <c r="L28" i="23"/>
  <c r="I347" i="23"/>
  <c r="I65" i="23"/>
  <c r="I50" i="23"/>
  <c r="K30" i="23"/>
  <c r="I437" i="23"/>
  <c r="O55" i="23"/>
  <c r="I410" i="23"/>
  <c r="I4" i="10"/>
  <c r="I302" i="23"/>
  <c r="O352" i="23"/>
  <c r="I428" i="23"/>
  <c r="D28" i="23"/>
  <c r="I442" i="23"/>
  <c r="I40" i="23"/>
  <c r="I293" i="23"/>
  <c r="K4" i="10"/>
  <c r="I56" i="23"/>
  <c r="I55" i="23" s="1"/>
  <c r="I352" i="23"/>
  <c r="K31" i="23"/>
  <c r="M28" i="23"/>
  <c r="C29" i="23"/>
  <c r="K55" i="23"/>
  <c r="C17" i="23"/>
  <c r="K22" i="23"/>
  <c r="D6" i="22"/>
  <c r="B6" i="22" s="1"/>
  <c r="C30" i="23"/>
  <c r="E28" i="23"/>
  <c r="B7" i="24"/>
  <c r="I308" i="23"/>
  <c r="I307" i="23" s="1"/>
  <c r="B6" i="24"/>
  <c r="C5" i="24"/>
  <c r="I83" i="23"/>
  <c r="O82" i="23"/>
  <c r="M541" i="23"/>
  <c r="I542" i="23"/>
  <c r="I541" i="23" s="1"/>
  <c r="I146" i="23"/>
  <c r="I145" i="23" s="1"/>
  <c r="K145" i="23"/>
  <c r="B5" i="22"/>
  <c r="I362" i="23"/>
  <c r="I361" i="23" s="1"/>
  <c r="M361" i="23"/>
  <c r="I254" i="23"/>
  <c r="I253" i="23" s="1"/>
  <c r="K253" i="23"/>
  <c r="I569" i="23"/>
  <c r="I568" i="23" s="1"/>
  <c r="K568" i="23"/>
  <c r="K64" i="23"/>
  <c r="I66" i="23"/>
  <c r="I41" i="23"/>
  <c r="I38" i="23"/>
  <c r="I37" i="23" s="1"/>
  <c r="K415" i="23"/>
  <c r="I418" i="23"/>
  <c r="I415" i="23" s="1"/>
  <c r="K73" i="23"/>
  <c r="I212" i="23"/>
  <c r="B13" i="24"/>
  <c r="C12" i="24"/>
  <c r="I317" i="23"/>
  <c r="I316" i="23" s="1"/>
  <c r="K316" i="23"/>
  <c r="I346" i="23"/>
  <c r="I345" i="23" l="1"/>
  <c r="I343" i="23" s="1"/>
  <c r="AD78" i="10"/>
  <c r="AD75" i="10"/>
  <c r="F16" i="23" a="1"/>
  <c r="F16" i="23" s="1"/>
  <c r="F14" i="23" s="1"/>
  <c r="C14" i="23" s="1"/>
  <c r="P74" i="10"/>
  <c r="P53" i="10"/>
  <c r="H4" i="10" s="1"/>
  <c r="G4" i="10" s="1"/>
  <c r="E14" i="10"/>
  <c r="E12" i="10" s="1"/>
  <c r="E4" i="10" s="1"/>
  <c r="AD166" i="10"/>
  <c r="N29" i="23" s="1"/>
  <c r="N23" i="23" a="1"/>
  <c r="N23" i="23" s="1"/>
  <c r="N21" i="23" s="1"/>
  <c r="C22" i="23"/>
  <c r="C15" i="23"/>
  <c r="B12" i="24"/>
  <c r="C4" i="10"/>
  <c r="B5" i="10"/>
  <c r="D4" i="24"/>
  <c r="I82" i="23"/>
  <c r="C9" i="22"/>
  <c r="E21" i="23"/>
  <c r="C21" i="23" s="1"/>
  <c r="M73" i="23"/>
  <c r="D4" i="10"/>
  <c r="I39" i="23"/>
  <c r="M21" i="23"/>
  <c r="I64" i="23"/>
  <c r="C28" i="23"/>
  <c r="B9" i="22"/>
  <c r="D9" i="22"/>
  <c r="B5" i="24"/>
  <c r="C4" i="24"/>
  <c r="C16" i="23" l="1"/>
  <c r="K29" i="23"/>
  <c r="N28" i="23"/>
  <c r="K28" i="23" s="1"/>
  <c r="B14" i="10"/>
  <c r="B12" i="10"/>
  <c r="K21" i="23"/>
  <c r="K23" i="23"/>
  <c r="B4" i="10"/>
  <c r="B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marje.pihl@tehik.ee</author>
  </authors>
  <commentList>
    <comment ref="B94" authorId="0" shapeId="0" xr:uid="{FC8EB906-C6DE-4C2B-AA68-31F80BA5EA03}">
      <text>
        <r>
          <rPr>
            <sz val="11"/>
            <color theme="1"/>
            <rFont val="Calibri"/>
            <family val="2"/>
            <charset val="186"/>
            <scheme val="minor"/>
          </rPr>
          <t>automatiseerine</t>
        </r>
      </text>
    </comment>
    <comment ref="B95" authorId="0" shapeId="0" xr:uid="{A9448E22-0A28-49C2-A24B-41D6301EEB94}">
      <text>
        <r>
          <rPr>
            <sz val="11"/>
            <color theme="1"/>
            <rFont val="Calibri"/>
            <family val="2"/>
            <charset val="186"/>
            <scheme val="minor"/>
          </rPr>
          <t>automatiseerine</t>
        </r>
      </text>
    </comment>
    <comment ref="B96" authorId="0" shapeId="0" xr:uid="{EDFDDAB5-E056-4913-9CD8-8A3E559BF182}">
      <text>
        <r>
          <rPr>
            <sz val="11"/>
            <color theme="1"/>
            <rFont val="Calibri"/>
            <family val="2"/>
            <charset val="186"/>
            <scheme val="minor"/>
          </rPr>
          <t>automatiseerine</t>
        </r>
      </text>
    </comment>
    <comment ref="B97" authorId="0" shapeId="0" xr:uid="{DE203314-C9B5-4322-B6B6-E7891B864FCB}">
      <text>
        <r>
          <rPr>
            <sz val="11"/>
            <color theme="1"/>
            <rFont val="Calibri"/>
            <family val="2"/>
            <charset val="186"/>
            <scheme val="minor"/>
          </rPr>
          <t>automatiseerine</t>
        </r>
      </text>
    </comment>
    <comment ref="B116" authorId="0" shapeId="0" xr:uid="{8F22336A-2969-4707-9A21-570B197367A5}">
      <text>
        <r>
          <rPr>
            <sz val="11"/>
            <color theme="1"/>
            <rFont val="Calibri"/>
            <family val="2"/>
            <charset val="186"/>
            <scheme val="minor"/>
          </rPr>
          <t>automatiseerine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marje.pihl@tehik.ee</author>
  </authors>
  <commentList>
    <comment ref="B64" authorId="0" shapeId="0" xr:uid="{DC782023-D126-4CAC-9F4B-E4480BD22B15}">
      <text>
        <r>
          <rPr>
            <sz val="11"/>
            <color theme="1"/>
            <rFont val="Calibri"/>
            <family val="2"/>
            <charset val="186"/>
            <scheme val="minor"/>
          </rPr>
          <t>automatiseerine</t>
        </r>
      </text>
    </comment>
    <comment ref="B66" authorId="0" shapeId="0" xr:uid="{CD5EDD7F-5074-430A-B546-49F1F726D3F8}">
      <text>
        <r>
          <rPr>
            <sz val="11"/>
            <color theme="1"/>
            <rFont val="Calibri"/>
            <family val="2"/>
            <charset val="186"/>
            <scheme val="minor"/>
          </rPr>
          <t>automatiseerine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<sst xmlns="http://schemas.openxmlformats.org/spreadsheetml/2006/main" count="3212" uniqueCount="717">
  <si>
    <t>Valdkondlik digipööre</t>
  </si>
  <si>
    <t xml:space="preserve">Elluviija: </t>
  </si>
  <si>
    <t>Sotsiaalministeerium</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</si>
  <si>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</si>
  <si>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</si>
  <si>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</si>
  <si>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</si>
  <si>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</si>
  <si>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</si>
  <si>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</si>
  <si>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</si>
  <si>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</si>
  <si>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</si>
  <si>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</si>
  <si>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</si>
  <si>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</si>
  <si>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</si>
  <si>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</si>
  <si>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</si>
  <si>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</si>
  <si>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</si>
  <si>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</si>
  <si>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</si>
  <si>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</si>
  <si>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</si>
  <si>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</si>
  <si>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</si>
  <si>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</si>
  <si>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</si>
  <si>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</si>
  <si>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</si>
  <si>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</si>
  <si>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</si>
  <si>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</si>
  <si>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</si>
  <si>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</si>
  <si>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</si>
  <si>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</si>
  <si>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</si>
  <si>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</si>
  <si>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</si>
  <si>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</si>
  <si>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</si>
  <si>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loetud arendusalgatusi</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</si>
  <si>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</si>
  <si>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</si>
  <si>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</si>
  <si>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Otseselt rahastus: SoM, TEHIK, PERH - lisaks kaudselt SKA, RA, TA, TAI, TÜK</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</si>
  <si>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</si>
  <si>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</si>
  <si>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</si>
  <si>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</si>
  <si>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</si>
  <si>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</si>
  <si>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</si>
  <si>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</si>
  <si>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</si>
  <si>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</si>
  <si>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</si>
  <si>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</si>
  <si>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</si>
  <si>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</si>
  <si>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</si>
  <si>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</si>
  <si>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</si>
  <si>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</si>
  <si>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</si>
  <si>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</si>
  <si>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</si>
  <si>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</si>
  <si>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</si>
  <si>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t>Tegevuse jätkusuutlikkuse kulu</t>
  </si>
  <si>
    <t>Kommentaar</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</si>
  <si>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</si>
  <si>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</si>
  <si>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</si>
  <si>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</si>
  <si>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</si>
  <si>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</si>
  <si>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</si>
  <si>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</si>
  <si>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</si>
  <si>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</si>
  <si>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</si>
  <si>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</si>
  <si>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</si>
  <si>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</si>
  <si>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</si>
  <si>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</si>
  <si>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</si>
  <si>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</si>
  <si>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</si>
  <si>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</si>
  <si>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</si>
  <si>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t>
    </r>
    <r>
      <rPr>
        <i/>
        <sz val="11"/>
        <rFont val="Calibri"/>
        <family val="2"/>
        <charset val="186"/>
      </rPr>
      <t>ga mis peab minema baasi, või on tegemist</t>
    </r>
    <r>
      <rPr>
        <b/>
        <i/>
        <sz val="11"/>
        <rFont val="Calibri"/>
        <family val="2"/>
        <charset val="186"/>
      </rPr>
      <t xml:space="preserve"> ühekordse kulu</t>
    </r>
    <r>
      <rPr>
        <i/>
        <sz val="11"/>
        <rFont val="Calibri"/>
        <family val="2"/>
        <charset val="186"/>
      </rPr>
      <t>ga konkrteetse(te)l aasta(te)l.</t>
    </r>
  </si>
  <si>
    <t>TEHIK/SKA</t>
  </si>
  <si>
    <t>Marika Kislenko</t>
  </si>
  <si>
    <t>I: Digiriik</t>
  </si>
  <si>
    <t>1.1.1. Üleminek sündmuspõhistele ja proaktiivsetele teenustele</t>
  </si>
  <si>
    <t>I: Infotehnoloogiliste lahenduste väljatöötamine ja arendamine</t>
  </si>
  <si>
    <t>Isikustatud sotsiaalmaksu alusel arvutatavate komponentide arv on ajas kasvanud ning sellest lähtuvalt pensioni ning teiste sotsiaalvaldkonna hüvitiste  arvutamise keerukus suurenenud. Täna puudub inimesel kasutajasõbralik iseteeninduse vaade isikustatud sotsiaalmaksu andmete vaatamiseks ning sellest tulenevalt ka planeerida oma valikuid</t>
  </si>
  <si>
    <t>Isikustatud sotsiaalmaksu analüüs</t>
  </si>
  <si>
    <t>2024 aastal valmib eelanalüüs mis on sisendiks 2024 arendusele. 2025 valmib arendus</t>
  </si>
  <si>
    <t>SAA1</t>
  </si>
  <si>
    <t>SF 21-27 (taotletav raha)</t>
  </si>
  <si>
    <t>vt SAA1</t>
  </si>
  <si>
    <t>5. Tegevus, mis ei vaja jätkusuutlikkuse kulusid.</t>
  </si>
  <si>
    <t>Isikustatud sotsiaalmaksu arendus</t>
  </si>
  <si>
    <t>2024 aastal arendus</t>
  </si>
  <si>
    <t>arhitektuuripaneel</t>
  </si>
  <si>
    <t>Jätkusuutlikkuskulud on tagatud 2023 RES otsusega, jätkusuutlikkuskulud on esitatud  2023+ Digipöörde Detailse plaani lehel SAA1</t>
  </si>
  <si>
    <t>Reet Tuberg</t>
  </si>
  <si>
    <t>1.1.3. Inimkeskne Digiriik</t>
  </si>
  <si>
    <t xml:space="preserve">Riiklikes registrites hoitavate isikute kontaktandmete puudulik kvaliteet takistab teenuste isikuni jõudmist ja proaktiivsuse põhimõtete elluviimist. </t>
  </si>
  <si>
    <t>GOV SSO arendus</t>
  </si>
  <si>
    <t>SAA2</t>
  </si>
  <si>
    <t>vt SAA2</t>
  </si>
  <si>
    <t>Jätkusuutlikkuskulud on tagatud 2023 RES otsusega, jätkusuutlikkuskulud on esitatud  2023+ Digipöörde Detailse plaani lehel SAA2</t>
  </si>
  <si>
    <t>TEHIK</t>
  </si>
  <si>
    <t>Tanel Tera</t>
  </si>
  <si>
    <t>1.2.7. Avaliku sektori digimuutuste võimendamine</t>
  </si>
  <si>
    <t>III: teadlikkuse tõstmine</t>
  </si>
  <si>
    <t xml:space="preserve">protsesside optimeerimine, uute lähenemiste rakendamine arendus, haldus ja hooldusprotsessides. </t>
  </si>
  <si>
    <t>agile coach</t>
  </si>
  <si>
    <t>on värvatud agile coach kes toetab TEHIKu sisemiste protsesside optimeerimisel ja uute lähenemise juurutamisel arendusetappides.</t>
  </si>
  <si>
    <t>eeldatav brutopalk 4300, 0,5 ametikohta</t>
  </si>
  <si>
    <t>4. Tegevus, mis vajab jätkusuutlikkuse kulusid, aga neid pole välja arvutatud ja eraldi real välja toodud</t>
  </si>
  <si>
    <t>Digipöörde lõpul hinnatakse tegevuse jätkumise vajadust</t>
  </si>
  <si>
    <t>TEHIK/SOM</t>
  </si>
  <si>
    <t>Juta Urbalu</t>
  </si>
  <si>
    <t>kompetentside kasvatamine läbi koolituste, et toetada teenuspõhist juhtimist, protsesse ja digipöörde elluviimist.</t>
  </si>
  <si>
    <t>koolituskulud:Teenuste juhid, ärianalüütikud, poliitikakujundajad ja TEHIK teenistujad</t>
  </si>
  <si>
    <t>koostatud on lähiaastate koolitusplaan, alustatud on esmaste digipädevusi tõstvate ning teenuspõhist juhtimist toetavates koolitusega. Jagatud on info riigiüleste kesksete koolitusvõimaluste kohta (nt MKM koolitused)</t>
  </si>
  <si>
    <t>IV: muu digipöördega seotud otsene kulu</t>
  </si>
  <si>
    <t>Laste ja perede toetamine</t>
  </si>
  <si>
    <t>Muu rahastus</t>
  </si>
  <si>
    <t>3. Tegevus, mis vajab jätkusuutlikkuse kulusid ja need on eraldi real välja toodud</t>
  </si>
  <si>
    <t>Sotsiaalkaitsesüsteemide ajakohastamist toetavate infosüsteemide arendused</t>
  </si>
  <si>
    <t>Õigusaktide ja baaseelarvesse eraldatud lisavahendid </t>
  </si>
  <si>
    <t>Baaseelarve</t>
  </si>
  <si>
    <t>TERVISE VALDKOND</t>
  </si>
  <si>
    <t>Sotsiaalministeerium / TEHIK/Terviseamet</t>
  </si>
  <si>
    <t>TEHIK/ Terviseamet</t>
  </si>
  <si>
    <t xml:space="preserve">Kerstin-Gertrud Kärblane </t>
  </si>
  <si>
    <t>1.2.2. Andmepõhine riigivalitsemine ja andmete taaskasutus</t>
  </si>
  <si>
    <t>Terviseameti teenuste värav</t>
  </si>
  <si>
    <t>Tuua kõik keskkonnatervisega seotud teenused ühte infosüsteemi, mis täna on erinevates vanenenud andmekogudes ja ei vasta riigi ühtsetele nõuetele. Analüüs, sh aruandluse ja avaandmete analüüs. Prototüüp, sh teenuse disain ja sihtgruppidega testimine</t>
  </si>
  <si>
    <t>Terviseteadlik kodanik/ Keskkonnatervise infosüsteem</t>
  </si>
  <si>
    <t>2024. a lõpuks valmib analüüs.</t>
  </si>
  <si>
    <t>TAA1</t>
  </si>
  <si>
    <t>Äripaneel</t>
  </si>
  <si>
    <t>vt TAA1</t>
  </si>
  <si>
    <t>1.2.4. Keskselt osutatud IT-alusteenused</t>
  </si>
  <si>
    <t xml:space="preserve">Arendustöödes taaskasutatakse juba olemasolevaid komponente (VEERA kujundus, mikroteenuste arhitektuur ja selle komponendid) </t>
  </si>
  <si>
    <t>2024 - 2026, sh moodulite arendus, andmete migratsioon ja liidesed erinevate süsteemidega</t>
  </si>
  <si>
    <t>Arhitektuuripaneel</t>
  </si>
  <si>
    <t>Täpsem sisu tuleb analüüsisit</t>
  </si>
  <si>
    <t>Jätkusuutlikkuskulud on esitatud 2023+ Digipöörde Detailse plaani lehel TAA1. Jätkusuutlikkuskulud kaetakse valitsemisala eelarvest sisemise kokkuhoiu tulemusel.</t>
  </si>
  <si>
    <t>1.2.1. Avalike teenuste juhtimise ja kasutajakesksuse juurutamine</t>
  </si>
  <si>
    <t>Rahulolu mõõtmine (kasutajad, ametid, kodanikud jne)</t>
  </si>
  <si>
    <t>2026 ja 2029</t>
  </si>
  <si>
    <t>Jätkuarendused - 5G teemad, analüüs ning arendus</t>
  </si>
  <si>
    <t>Nakkushaiguste infosüsteem</t>
  </si>
  <si>
    <t xml:space="preserve">Ärianalüüs teostatud 2022 aastal. Nakkushaiguste infosüsteem (NAKIS) ei vasta Terviseameti (TA) ega ka partnerite tänastele vajadustele ja turvalisuse nõuetele ning ei ole kasutusel olevate registritega kooskõlas. </t>
  </si>
  <si>
    <t>Uus nakkushaiguste infosüsteem</t>
  </si>
  <si>
    <t>2023 lõpp/2024 I kv lõpuks on teostatud hange ja leitud on partner detailanalüüsi ja arenduste läbiviimiseks. Projekti lõpuks on Terviseametil uus NAKIS infosüsteem ja loodud on kõik vajalikud liidesed teiste infosüsteemidega. 2024.a valmib detailanalüüs, arendustega alustame juba varem paralleelselt. </t>
  </si>
  <si>
    <t>TAA2</t>
  </si>
  <si>
    <t>Jätkusuutlikkuskulud on esitatud 2023+ Digipöörde Detailse plaani lehel TAA2. Jätkusuutlikkuskulud kaetakse valitsemisala eelarvest sisemise kokkuhoiu tulemusel.</t>
  </si>
  <si>
    <t>Meditsiiniseadmete andmekogu</t>
  </si>
  <si>
    <t>Arendus, sh moodulite arendus, liidesed teiste süsteemidega, andmete migratsioon</t>
  </si>
  <si>
    <t>Uue põlvkonna meditsiiniseadmete ja abivahendite andmekogu (MSA) </t>
  </si>
  <si>
    <t>2023 lõpp /2024 aasta Ikv viiakse läbi hange partneri leidmiseks ja võimalusel alustatakse arendustega. 2024 - 2026 arendus </t>
  </si>
  <si>
    <t>TAA3</t>
  </si>
  <si>
    <t>vt TAA2</t>
  </si>
  <si>
    <t>Sotsiaalministeerium / TAI</t>
  </si>
  <si>
    <t>TAI</t>
  </si>
  <si>
    <t>TAI/Jane Idavain</t>
  </si>
  <si>
    <t>Riikliku tervishoiustatistika tegemine</t>
  </si>
  <si>
    <t xml:space="preserve">Tervisestatistilisi andmeid kogutakse hetkel agregeeritud aruannetega andmete kogumisplatvormi A-veeb kaudu. Eesmärk on vähendada tervishoiuteenuse osutajate andmete esitamise koormust ning võtta kasutusele maksimaalselt tervise infosüsteemi individuaalsed andmed. Senine agregeeritud andmete kogumise platvorm A-veeb suletakse. </t>
  </si>
  <si>
    <t>Tervisestatistika andmekogumisel uuele metoodikale üleminek (vajab peale ärianalüüsi summa ja skoobi täpsustust)</t>
  </si>
  <si>
    <t>2024. a tulemuseks on ärianalüüsi valmimine (TAI rahastab).
2024. a jooksul valmib detailne arendusprojekti plaan ja alustatakse hanke läbiviimist. 
2025. - 2026. a arendatakse välja maksimaalselt parim lahendus TIS andmete kasutusele võtmiseks tervisestatistika tegemisel. Alates andmekvaliteedi tagamisest kuni andmevoogude liikumiseni TEHIK-TAI suunal. Paralleelselt testitakse arenduse toimivust ja 
2027. a on arenduse </t>
  </si>
  <si>
    <t>TAA5</t>
  </si>
  <si>
    <t>vt TAA3</t>
  </si>
  <si>
    <t>Jätkusuutlikkuskulud on esitatud 2023+ Digipöörde Detailse plaani lehel TAA3. Jätkusuutlikkuskulud kaetakse valitsemisala eelarvest sisemise kokkuhoiu tulemusel.</t>
  </si>
  <si>
    <t>Sotsiaalministeerium / Ravimiamet</t>
  </si>
  <si>
    <t>Ravimiamet</t>
  </si>
  <si>
    <t>Toomas Silla</t>
  </si>
  <si>
    <t>Ravimiameti hallatavaid andmeid kasutavad Eestis apteekrite ja ravimite hulgimüüjate infosüsteemid, meditsiinitöötajate infosüsteemid. Osaliselt ei arvesta kasutusel olevad süsteemid aga hetkel kaasaegsete andmestandarditega ega ole tehniliselt ajakohased.</t>
  </si>
  <si>
    <t xml:space="preserve">Ravimiameti analüüsilahenduse loomine </t>
  </si>
  <si>
    <t>TAA6</t>
  </si>
  <si>
    <t>vt TAA4</t>
  </si>
  <si>
    <t>Jätkusuutlikkuskulud on esitatud 2023+ Digipöörde Detailse plaani lehel TAA4. Jätkusuutlikkuskulud kaetakse valitsemisala eelarvest sisemise kokkuhoiu tulemusel.</t>
  </si>
  <si>
    <t>Mitmed seadusest tulenevad töölõigud ei ole Ravimiametis hetkel digitaalselt rahuldavalt toetatud, ajakulukad ning piiratud määral läbipaistvad. Kasutusel olev lahendus on tehniliselt vananenud</t>
  </si>
  <si>
    <t xml:space="preserve">Ravimiameti ravimitega seonduvate menetlusprotsesside ühtlustamine ja uuendamine  </t>
  </si>
  <si>
    <t>TAA7</t>
  </si>
  <si>
    <t>TAI eelarves on aastaks 2023 100 000.-  tuleviku arenduste kulud on toodud TAA5</t>
  </si>
  <si>
    <t>Jätkusuutlikkuskulud on esitatud 2023+ Digipöörde Detailse plaani lehel TAA7. Jätkusuutlikkuskulud kaetakse valitsemisala eelarvest sisemise kokkuhoiu tulemusel.</t>
  </si>
  <si>
    <t>Sotsiaalministeerium / TEHIK</t>
  </si>
  <si>
    <t>Õigusaktide lisavahendid tervisevaldkonnas</t>
  </si>
  <si>
    <t>Tervisevaldkonna lisarahastus (TerK) - TIS/Uptis teenuste arendused</t>
  </si>
  <si>
    <t>Allan Brant</t>
  </si>
  <si>
    <t>1.1.4. Roheline digiriik</t>
  </si>
  <si>
    <t xml:space="preserve">Tänane vereteenistuse infosüsteem (EVI) on vananenud (1995), puudub andmevahetus 4 verekeskuse vahel ja teiste riiklike infosüsteemidega. Infosüsteem ei toimi verevalvsuse operatiivse rakendusena, sest veretoote elektrooniline jälgitavus katkeb raviasutustes. </t>
  </si>
  <si>
    <t>Üleriigiline vere infosüsteem</t>
  </si>
  <si>
    <t>99% paberivaba veretoodete tootmise, uuringute, tellimise ja transfusiooni käitlus, mis viib liigse paberikulu ja arhiveerimisvajaduse nulli lähedale
Kaob ära vajadus infot käsitsi süsteemi lisada, ehk saavutatakse sääst aastas 2073 töötundi ehk ligi 60 500€
Tagatud doonorite ja patsientide uuringute ja andmete kättesaadavus kõikides verekabinettides/-keskustes.
Toimiv aruandluse ja statistika moodul, mille kaudu on tagatud vein-to-vein jälgitavus.
Arendusprojekt panustab avalike teenuste osutamist toetavate kesksete lahenduste riigiülene juurutamisse - süsteemi kaudu hakkab info patsiendi uuringute kohta tervise infosüsteemi ja rakendatakse andmejälgija
TÜK LIS (labori infosüsteem) on liidestatud
Peale projekti edukat juurutamist liituvad süsteemiga peale PERH-i ja TÜK-i ka Ida-Viru Keskhaigla ja Pärnu Haigla verekeskused.</t>
  </si>
  <si>
    <t>TAA8</t>
  </si>
  <si>
    <t>ei vaja paneeli</t>
  </si>
  <si>
    <t>Jätkusuutlikkuskulud on esitatud 2023+ Digipöörde Detailse plaani lehel TAA8. Jätkusuutlikkulud on tagatud PERH eelarvest</t>
  </si>
  <si>
    <t>Sotsiaalministeerium /-</t>
  </si>
  <si>
    <t>Tervisevaldkonna e-teenuste juhtimine on killustunud, mistõttu on oht teenuste omavaheliseks väheseks kooskõlaks ning ressursi ebaefektiivseks kasutamiseks ja dubleerimiseks.</t>
  </si>
  <si>
    <t>Tervisevaldkonnas teenuspõhise juhtimise rakendamine, tervise - ja sotsiaalvaldkonna intergreerimine, e-tervise valdkonna juhtimine</t>
  </si>
  <si>
    <t xml:space="preserve">2024 ja 2025 aastal on kinnitatud tervisevalkonna poliitikavaldkonnad ning rakendatud teenuspõhine juhtimine tervikuna. Alustatud on süsteemse kliendikogemuse mõõtmisega, loodud on teenuspõhised tulemusindikaatorid. Tehtud on analüüs ja ettepanekud sotsiaal- ja tervisevaldkonna andmete integratsiooniks. SoM VA on tervikuna toetatud teenuspõhisele juhtimisele üleminekul. </t>
  </si>
  <si>
    <t>koolituskulud:Teenuste juhid, ärianalüütikud, poliitikakujundajad ja TEHIK töötajad</t>
  </si>
  <si>
    <t>Eleri Lapp</t>
  </si>
  <si>
    <t>Eesti tervisesüsteemi hindamise raamistiku (HSPA) projekt on lõppenud ehk kokku on lepitud mõõdikud kogu tervisevaldkonnale. 
Kuigi mõõdikud ise on innovatsiooni ja 
digivaldkonnale kokkulepitud on puudu protsessid kuidas täpsemalt mõõtmisi läbi viia.</t>
  </si>
  <si>
    <t>HSPA mõõdikute 
mõõtmisprotsessi
de väljatöötamine</t>
  </si>
  <si>
    <t xml:space="preserve">Tulemus on Eesti tervisesüsteemi mõõdikute rakendamise protsess (kuidas mõõdetakse). </t>
  </si>
  <si>
    <t>Martin Sepp</t>
  </si>
  <si>
    <t>Tubakatoodete kontrolli infosüsteem</t>
  </si>
  <si>
    <t>Kogu protsess on täna käsitöö, sh igasugune nõetele vastavuse kontroll. Minimaalne kontrollimise võimekus. Teavituste kontrollimata jätmine tekitab ettevõtjatele õigustatud ootuse müüa tooteid, mis ei ole kooskõlas tubakaseaduse nõuetega. TA avaliku usaldusväärsuse ja riigivastutuse risk.</t>
  </si>
  <si>
    <t xml:space="preserve">Tubakatoodete ja nendega seonduvate toodete teavituste sisuline automatiseeritud kontroll. </t>
  </si>
  <si>
    <t>Tubakatoodete ja e-vedelike teavituste kontrollimine on automatiseeritud, analüüsitav andmekoosseis on kirjeldatud ning inimese tervisele ohtlike ainete info on koondatud. Seega saavutame kontrolli automatiseerimisega EL nõuete täitmise. Tootjatelt kogutava riigilõivu maksed saab efektiivselt siduda teavituste ja nende uuendustega, seega on võimalik uude infosüsteemi koondada terviklik ülevaade tubakatoodetega seotud protsessidest. Viiakse läbi turvatestimine 2025 aastal.</t>
  </si>
  <si>
    <t>TAA9</t>
  </si>
  <si>
    <t>vt Arvestuse alused 2024 leht TAA9</t>
  </si>
  <si>
    <t xml:space="preserve">Jätkusuutlikkuskulud on esitatud Arvestuse alused 2024 lehel TAA9, jätkusuutlikkuskulud kaetakse valitsemisala eelarvest kulude </t>
  </si>
  <si>
    <t>MEIS II etapp</t>
  </si>
  <si>
    <t xml:space="preserve">Terviseameti (TA) menetlusinfosüsteemi MEIS kasutuselevõtu järgselt on leitud mitmeid järelevalvemenetluse tööprotsessi tegevusi, mida ametnikud viivad läbi teistes keskkondades (nt dokumendihaldussüsteem, e-post või paberkandja), mis omakorda tõstab üldist ajakulu ning tekitab keerukust eri keskkondade vahel navigeerimise näol (sh menetlusosalisele isikule). </t>
  </si>
  <si>
    <t>Täiendatud TA järelevalvemenetluse tööprotsess MEIS-s võimaldab nii ametnikul, kui ka menetlusosalisel isikul teha kõik toimingud ühes keskkonnas. Seeläbi tõuseb veelgi kogu protsessi kvaliteet, kiirus ning kasutajate rahulolu. Viiakse läbi turvatestimine 2025 aastal.</t>
  </si>
  <si>
    <t>TAA10</t>
  </si>
  <si>
    <t>vt Arvestuse alused 2024 leht TAA10</t>
  </si>
  <si>
    <t>Algatus ei suurenda jätkusuutlikkuskulusid, MEIS jätkustuutlikkuskulud on kaetud TEHIKu baaseelarvest</t>
  </si>
  <si>
    <t>Epp Immato, Rainer Ader</t>
  </si>
  <si>
    <t>Andmeladu</t>
  </si>
  <si>
    <t xml:space="preserve">Läbi aastate on kogutud väga palju digitaalseid andmeid, aga nende kasutamine otsuste tegemiseks on minimaalne ning andmete kasutamiseks tuleb läbi teha pikk ja kohmakas protsess. See ei vasta kasutajate ootustele ega Digiühiskonna arengukava 2030 ühele strateegilisele eesmärgile „Andmepõhine riigivalitsemine ja andmete taaskasutus“. Samuti on see andmeesitajatele koormav, kuna tihti küsitakse andmeid mitu korda, erineval moel ja erinevatesse kanalitesse.
Tehiniline vaade:
Tehiku kasutuses on hetkel kaks andmeladude platvormi. Uued lahendused on loodud moodsale Vertica platvormile kuivõrd kõige keerukam ja mahukam Tervise infosüsteemi andmeladu (Statistikamoodul) on Sybase IQ platvormil. Seni kuni TIS andmeladu on vanal platvormil oleme sunnitud ka osalisi uusi arendusi tegema Sybase IQ platvormile, mis tulevikus on vaja eraldi projektiga kolida Vertica platvormile.	
</t>
  </si>
  <si>
    <t>Andmed otsuste tegemiseks</t>
  </si>
  <si>
    <t xml:space="preserve">SOMi valitsemisala üleselt on võimalik kasutada erinevate andmekogude andmeid vajalike poliitilise otsuste ja juhtimisotsuste tegemiseks ning toetatud on kiire operatiivinfo väljastamine kiireloomuliste otsuste tegemiseks. Andmete väljastamise protsess on optimeeritud. Andmete omamise ja töötlemise juriidiline korraldus on viidud mõistlikule, väikseima bürokraatia tasemele.
TEHIK kasutuses on üks andmelao platvorm – Vertica. On olemas tervise infosüsteemi andmelao (Statisikamoodul) migreerimisplaan ja -töödega on alustatud, seal hulgas viiakse tervise infosüsteemi andmed analüütika tegemiseks sobivale kujule. Sybase IQ sulgemise tähtaeg on teada.
Uusi teenuseid arendatakse ühel platvormil.
</t>
  </si>
  <si>
    <t>A1</t>
  </si>
  <si>
    <t>vt Arvestuse alused 2024 leht A1</t>
  </si>
  <si>
    <t>Jätkusuutlikkuskulud on esitatud Arvestuse alused 2024 lehel A1, jätkusuutlikkuskulud kaetakse Tervisekassa eelarvest</t>
  </si>
  <si>
    <t>Krõõt Kaldma; Viljar Pallo</t>
  </si>
  <si>
    <t>Toetavad tegevused pikaajalise ajutise töövõimetusega inimestele toetussüsteemi loomiseks</t>
  </si>
  <si>
    <t>Ann-Claire Utt</t>
  </si>
  <si>
    <t>EST2EHDS</t>
  </si>
  <si>
    <t>Aurelia Mihk</t>
  </si>
  <si>
    <t>EST-2-MyHealth</t>
  </si>
  <si>
    <t>Rutt Lindström</t>
  </si>
  <si>
    <t>Xt-EHR</t>
  </si>
  <si>
    <t xml:space="preserve">III: Küberturvalisus </t>
  </si>
  <si>
    <t>3.3. Suurem küberturvalisuse tagamise võimekus</t>
  </si>
  <si>
    <t>II: küberruumi hoidmine, arendamine ja juurutamine usaldusväärse ja turvalisena</t>
  </si>
  <si>
    <t>Küberrünnete arv on pidevas kasvamises, kahe aastaga on kasv olnud pea 4 korda. Aastas on 54 miljonit turvasündmust, mille tõkestamisega infoturbeosakond tegeleb,. EITS standardi kohaselt üleminekul protsessipõhisele riskiohjele on toonud kaasa oluliselt laiema ja terviklikuma turbe vaate, kus kogu organisatsiooni on hõlmatud, võrreldes varasema andmekogu põhise turbemetoodikaga (ISKE). TEHIK-u hallata on 35 andmekogu, mille abil töödeldakse isikuandmeid, sh vahetatakse andmeid nii siseriiklike kui EL osapooltega. Andmete kaitseks näevad EL ja ISKE/EITS nõuded ette seire turberikkumiste tuvastamiseks. Arvestades pidevat küberrünnete kasvu on vajalik teha täiendavaid samme turvalisuse tagamiseks.</t>
  </si>
  <si>
    <t>Küberturvalisuse tagamise võimekuse säilitamine</t>
  </si>
  <si>
    <t>Tagatud on võimekus reageerida rünnetele, analüüsida ja hallata riske</t>
  </si>
  <si>
    <t>RES1</t>
  </si>
  <si>
    <t>RES IKT (vaja juurde taotleda)</t>
  </si>
  <si>
    <t>vt Arvestuse alused 2024 leht RES1</t>
  </si>
  <si>
    <t xml:space="preserve">Andmepõhine otsuste langetamine ning andmete tagamine juhtimisotsusteks, analüüsideks, teadlastele kasutamiseks on igapäevane normaalsus. Digiriigi arengukava kohaselt on üheks oluliseks suunaks ja arenguhüppe võimaldajaks andmepõhine riigivalitsemine ja andmete taaskasutus. 2020-2022 ehitati TEHIKus üles andmehalduse, -analüüsi ja andmeladude loomise võimekus, kättesaadavaks tehti avaandmed. Tegevuste rahastus oli ühekordsetest vahenditest. Alates 2023 aastast rahastus ei jätkunud ning 2023 ja 2024 on tegevusi jätkatud eelarve jääkidest, mida 2025 aastaks enam ei jätku. </t>
  </si>
  <si>
    <t>Andmepõhiseks riigivalitsemiseks tervise - ja sotsiaalvaldkonnas andmehalduse ja kvaliteedi tagamine </t>
  </si>
  <si>
    <t>Tagatud on andmed analüüsideks ja juhtimisotsuste tegemiseks, paraneb andmekvaliteet,  tagatud on andmeladude jätkusuutlikkus. Tegevuste mittejätkumiselt väheneb oluliselt andmete kättesaadavus.</t>
  </si>
  <si>
    <t>RES2</t>
  </si>
  <si>
    <t>vt Arvestuse alused 2024 leht RES2</t>
  </si>
  <si>
    <t xml:space="preserve">Tervise valdkonna infosüsteemide ülalpidamiseks (hooldamiseks, haldamiseks, majutamiseks) puuduvad piisavad vahendid baaseelarves. Kõigil aastatel on ka RESi lisaeelarve taotlused esitatud ning ka osaliselt rahastust saadud, kuid see ei ole olnud piisav võimaldamaks nõuetekohaselt infosüsteeme hallata ja majutada, kuna valdavalt on jäänud rahastamata baastaristu tagamisega seotud taotlused, ilma milleta on teenuste ülalpidamine võimatu. Samas on vajadus uute lahenduste järele ning teenuseid on loodud juurde või uuendatud, nõuded teenuste käideldavusele on kasvanud. Üheaastaste lepingute alusel on Tervisekassa rahastanud tervise valdkonna infosüsteemide ülalpidamist. 2024 aastaks on kokku lepitud digisaatekirjade, e-kiirabi, digiregistratuuri, otsustustoe, apteegi MISP2, terviseportaali, personaalmeditsiini ja tervisejuhtimise töölaua ülalpidamine Tervisekassa eelarvest. Puudub kindlus, et rahastus jätkub 2025 ja edaspidi, arvestades, et Tervisekassa 2025 a eelarve prognoositav puudujääk on üle 149 miljoni euro. </t>
  </si>
  <si>
    <t>Tervise valdkonna uute ja uuendatud IKT teenuste ülalpidamine</t>
  </si>
  <si>
    <t>Tervise valdkonna teenused on nõuetekohaselt ja turvaliselt kättesaadavad, katkestuste arve on SLA piires.</t>
  </si>
  <si>
    <t>RES3</t>
  </si>
  <si>
    <t>vt Arvestuse alused 2024 leht RES3</t>
  </si>
  <si>
    <t>Hädaolukorra seaduse muutmise ja sellega seonduvate teiste seaduste muutmise eelnõust tulenevate kohustuste täitmine, sh digitaristu võimestamine ning küberrünnakute tõkestamine ETOdega seotud süsteemidele ning terviseandmetele.</t>
  </si>
  <si>
    <t>Ründetuvastusmoodul on soetatud ning kasutusse võetud ja ajakohased litsentsid on tagatud</t>
  </si>
  <si>
    <t>Ründetuvastusmoodul 497 000 eurot, Turvasündmuste haldussüsteemi litsentside kallinemine ja laiendamine (SIEM: Elastic Observatory laiendamine (59 000 eurot aastas), Tenable (23 000 eurot aastas), APM (90 000 eurot aastas); Trendmicro (80 000 eurot aastas)</t>
  </si>
  <si>
    <t>Tsiviilkriisi ja riigikaitse seaduse eelnõust tulenevate kohustuste täitmine</t>
  </si>
  <si>
    <t xml:space="preserve">IT töökohateenuse tagamine programmi Teenused ohvitele ja vägivallatsejatele eesmärkide saavutamiseks </t>
  </si>
  <si>
    <t>SKA töötajatele on IT töökohakulud tagatud</t>
  </si>
  <si>
    <t>Töökohakulud SKA ametikohtadele</t>
  </si>
  <si>
    <t>IT töökohateenuse tagamine programmi Hoolekande kättesaadavuse tagamise ja toimetuleku toetamise eesmärkide saavutamiseks </t>
  </si>
  <si>
    <t>SOM tervik</t>
  </si>
  <si>
    <t>II: Ühenduvus</t>
  </si>
  <si>
    <t>1.1.2. Krativäeline riik</t>
  </si>
  <si>
    <t>+km</t>
  </si>
  <si>
    <t>Reserv (SR)</t>
  </si>
  <si>
    <t>SF 14-20 (töös olev projekt)</t>
  </si>
  <si>
    <t>1.2.3. Tulevikukindlad digiriigi platvormid</t>
  </si>
  <si>
    <t>3. teadlikkuse tõstmine</t>
  </si>
  <si>
    <t>1.2.5. Uute lähenemisviiside pidev katsetamine</t>
  </si>
  <si>
    <t>1.2.6. Avatud innovatsioon ja digiriigi kogukonna arendamine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</si>
  <si>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</si>
  <si>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</si>
  <si>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</si>
  <si>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</si>
  <si>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</si>
  <si>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</si>
  <si>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</si>
  <si>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</si>
  <si>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Sotsiaalkaitse valdkond</t>
  </si>
  <si>
    <t>Tervise valdkond</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</si>
  <si>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</si>
  <si>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</si>
  <si>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</si>
  <si>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</si>
  <si>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</si>
  <si>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</si>
  <si>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</si>
  <si>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</si>
  <si>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</si>
  <si>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</si>
  <si>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</si>
  <si>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Jätkusuutlikkuse kulu</t>
  </si>
  <si>
    <t>Filter</t>
  </si>
  <si>
    <t>2023 eelarve täitmine</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</si>
  <si>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</si>
  <si>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</si>
  <si>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</si>
  <si>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</si>
  <si>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ISM analüüsiga alustame 2024 augustis kuna EMTAl ei ole partnerina enne ressurssi. Sügisel selgub täpsustunud ajakava. </t>
  </si>
  <si>
    <t>Seoses analüüsi ajakava edasilükkumisega, lükkub ka arendus tõenäoliselt 2025 aastasse, ajakava täpsustub 2024 sügisel 3-4kvartal. </t>
  </si>
  <si>
    <t>1. Tegevus sisaldab jätkusuutlikkuse kulusid ja need on samal real välja toodud.</t>
  </si>
  <si>
    <t>GOV SSO osas realiseerime POSTKAST 2.0 funktsionaalsuse esmalt kontaktandmete uuendamise ja andmevahetuse RRga.2024 aasta lõpus saame täpsustada GOV SSO skoobi ja ajakava. </t>
  </si>
  <si>
    <t>Agile coach on värvatud ja panustab TEHIKu sisemiste protsesside optimeerimisse ja uute lähenemiste juurutamisse arendusetappides.</t>
  </si>
  <si>
    <t>kompetentside kasvatamine läbi koolituste, et toetada protsesse ja digipöörde elluviimist.</t>
  </si>
  <si>
    <t>koostatud on lähiaastate koolitusplaan, alustatud on esmaste digipädevusi tõstvate koolitusega. Jagatud on info riigiüleste kesksete koolitusvõimaluste kohta (nt MKM koolitused)</t>
  </si>
  <si>
    <t>2023 välisrahastusest koolitusi läbi ei viidud, kuna abikõlblikkusperiood lükkus edasi,  eelarvet soovime kasutada 2024 aastal. 2024 on tegeletud koolitusplaani täpsustamisega ja on alustatud hangete ettevalmistamist</t>
  </si>
  <si>
    <t>Liis Mesi</t>
  </si>
  <si>
    <t xml:space="preserve">Eesmärk on luua broneeringusüsteem STARi kaudu korraldatavale teenusele digitaalselt ja turvaliselt aja teenusele registreerumiseks. </t>
  </si>
  <si>
    <t>Broneerimissüsteemi I etapp</t>
  </si>
  <si>
    <t xml:space="preserve">valminud on uus funktsionaalsus. Projekti algus 2022. </t>
  </si>
  <si>
    <t xml:space="preserve">2023 on arendused realiseeritud ja projekt on valmis. </t>
  </si>
  <si>
    <t>Rea Uudeküll</t>
  </si>
  <si>
    <t>Perelepitusteenuse käigus aidatakse lapsevanemaid, kes kooselu lõppemisel või last eraldi kasvatades ei ole suutnud jõuda lapse kasvatamise korralduse ja heaolu tagamise küsimustes omavahel kokkuleppele.</t>
  </si>
  <si>
    <t>Perelepituse teenuse I etapp</t>
  </si>
  <si>
    <t>valminud on uus funktsionaalsus.</t>
  </si>
  <si>
    <t>Perelepituse teenuse I etapp TURVATEST</t>
  </si>
  <si>
    <t>on läbi viidud turvatestid</t>
  </si>
  <si>
    <t>Turvatestid tehakse 2024</t>
  </si>
  <si>
    <t>tehnoloogilise võla vähendamine läbi komponentide ajakohastamise</t>
  </si>
  <si>
    <t>TEHNOLOOGILINE VÕLG: STAR üldkomponendid</t>
  </si>
  <si>
    <t>standardtoetuste funktsionaalsuse arendused, hindamiste funktsionaalsuste arendused standardtoetuste jaoks, digiallkirjastamine</t>
  </si>
  <si>
    <t xml:space="preserve">Projekt on arenduses, GOLIVE planeeritud mai 2024. </t>
  </si>
  <si>
    <t>Liis Paloots</t>
  </si>
  <si>
    <t>Tõlketeenus</t>
  </si>
  <si>
    <t>on valminud funktsionaalsus</t>
  </si>
  <si>
    <t xml:space="preserve">SKA arenduste juhtrühma otsusega on projekt peatatud. </t>
  </si>
  <si>
    <t>Ester Marjapuu</t>
  </si>
  <si>
    <t>Annetatud toiduabi</t>
  </si>
  <si>
    <t>Projekt on lives, GOLive 29.06.2023</t>
  </si>
  <si>
    <t xml:space="preserve">Sotsiaalministeerium </t>
  </si>
  <si>
    <t>Heidi Paabort</t>
  </si>
  <si>
    <t>Noortegarantii(NGTS-i) väikearendused</t>
  </si>
  <si>
    <t>Projekt on lives, GOLive september 2023</t>
  </si>
  <si>
    <t>Aika Kaukver?</t>
  </si>
  <si>
    <t>Täisealise abivajaduse esmane hindamine I etapp</t>
  </si>
  <si>
    <t>on valminud analüüs ja osa funktsionaalsusest</t>
  </si>
  <si>
    <t>projekt on arenduses.</t>
  </si>
  <si>
    <t>Teenuseosutaja portaal I etapp</t>
  </si>
  <si>
    <t xml:space="preserve">projekt on planeeritud algama 2025 aastal. </t>
  </si>
  <si>
    <t>Toiduabi vautšerite süsteemi arendus</t>
  </si>
  <si>
    <t>2023 valmib ärianalüüs</t>
  </si>
  <si>
    <t>Projekt on SKA ärianalüüsis</t>
  </si>
  <si>
    <t>Puudega täiskasvanu abivajaduse hindamine</t>
  </si>
  <si>
    <t>Puudeinfo andmevahetuse projekt. (lapsed GOlive 17.01.2023), täiskasvanud 01.02.2023</t>
  </si>
  <si>
    <t>tehnoloogilise võla vähendamine</t>
  </si>
  <si>
    <t>TEHNOLOOGILINE VÕLG: RR andmevahetus</t>
  </si>
  <si>
    <t>ajutise kaitse ja rahvusvahelise kaite tunnuse lisamine, viibimiskoha andmete arendus, x-tee teenuse muudatused</t>
  </si>
  <si>
    <t xml:space="preserve">hetkel on projekt pausil kuna arendajapoolne hinnang ja lahendus vajab TEHIKu poolset analüüsi ja läbitöötamist, samuti vajame täiendavat rahastust antud projekti lõpule viimiseks. Selle leidmiseni ja lahenduse valideerimiseni on projekt pausil. </t>
  </si>
  <si>
    <t>Kalev Härk</t>
  </si>
  <si>
    <t xml:space="preserve">Puude raskusastme tuvastamisel ei saa Rahvusvahelise funktsioneerimisvõime klassifikatsiooni põhist infot kasutada ja RKF-põhist hindamistulemusi esitada, sest SKAl puudub RFK kasutamise võimekus hindamisinfo vastuvõtmisel, salvestamisel ja andmete kuvamisel. </t>
  </si>
  <si>
    <t>RFK põhise hindamisinfo vastuvõtmine I etapp</t>
  </si>
  <si>
    <t>projekt on lõpetatud, arendused on valmis.</t>
  </si>
  <si>
    <t xml:space="preserve">Eestis on ligikaudu 8800 last ja 74 000 vanaduspensioniealist puudega inimest kellel ei ole võimalik tuvastada ja sotsiaaltoetust taotleda e-teenusena läbi iseteeninduse. </t>
  </si>
  <si>
    <t>LAVA:Puuetega lapse ja vanaduspensioniealiste klienditeekonna redisain I etapp</t>
  </si>
  <si>
    <t>klientide suhtluse parendamine läbi arenduste.</t>
  </si>
  <si>
    <t>Kliendisuhtluse ja alusdokumentide kuvamine Iseteeninduses</t>
  </si>
  <si>
    <t>Piret Meemann</t>
  </si>
  <si>
    <t>erivajadusega inimestele senisest parema toe pakkumine</t>
  </si>
  <si>
    <t>Hooldajatoetuse arendus SKAIS2</t>
  </si>
  <si>
    <t>on valminud ärianalüüs</t>
  </si>
  <si>
    <t xml:space="preserve">12.06.23 juhtrühma otsused ja kommentaarid: Juhtrühma otsus: Arendus liigub backlogi. Arenduse ootus tulenes 2022 aastal VTKst, kus sooviti laiendada hooldajate puhkuse võimalusi. Lisarahastust sellele teenusele ei saadud ning ka 2024 on rahastuse saamine ebatõenäoline. Kui teenust ei ole puudub ka vajadus arenduseks. </t>
  </si>
  <si>
    <t>Regina Multram</t>
  </si>
  <si>
    <t>lasterikka peretoetuste arendused tulenevalt seadusemuudatusest</t>
  </si>
  <si>
    <t>Lasterikka peretoetuse arendused</t>
  </si>
  <si>
    <t xml:space="preserve">on jäänud viimased funktsionaalsuste arendused kuid peamine osa on valmis, lõpetame 2kvartal 2024. </t>
  </si>
  <si>
    <t>Terje Tiitsu</t>
  </si>
  <si>
    <t xml:space="preserve">inimestele läheksid õiged summad õigel ajal. </t>
  </si>
  <si>
    <t>Arvestusmooduli arestimise funktsionaalsus I etapp</t>
  </si>
  <si>
    <t xml:space="preserve">arestid I etapp on valmis ning funktsionaalsus üle antud äripoolele testimiseks, algatatud on arestid II etapp mille tulemused valmivad 2kvartal 2024. </t>
  </si>
  <si>
    <t>pensionite ületoomiseks skais2 tuleb täiendada arvestusmoodulit</t>
  </si>
  <si>
    <t>Pensionite ületoomiseks vajaliku arvestusmooduli korrastus</t>
  </si>
  <si>
    <t>TEHNOLOOGILINE VÕLG: Pensionide, kahjuhüvitiste väljamaksmise üleviimine SKAIS2 ja uute tulumaksureeglite rakendamine(TULP)</t>
  </si>
  <si>
    <t>on parendatud tehnoloogilise võla olukorda</t>
  </si>
  <si>
    <t>TEHNOLOOGILINE VÕLG: TULP täiendavad arendused</t>
  </si>
  <si>
    <t>Agne Kiviselg</t>
  </si>
  <si>
    <t>pensionide õiges summas väljamaksete tagamine</t>
  </si>
  <si>
    <t>PÕS arendus: Pensioniteenuse arenduse I etapp -staaži arvestamine</t>
  </si>
  <si>
    <t xml:space="preserve">projekt on lõpetatud, andmete migreerimine toimus aprill 2024. </t>
  </si>
  <si>
    <t>Pensionite, toetuste ja hüvitiste arvestamise ja maksmise jätkusuutlikkuskulud ei ole täies ulatuses tagatud</t>
  </si>
  <si>
    <t>Pensionite, toetuste ja hüvitiste arvestuse ja maksmise tagamine kriisiolukordades </t>
  </si>
  <si>
    <t>tagatud on ülalpidamiskulud</t>
  </si>
  <si>
    <t>vt leht RES</t>
  </si>
  <si>
    <t>2. Tegevus on jätkusuutlikkuse kulu</t>
  </si>
  <si>
    <t>taotlus rahuldati 2 000 000</t>
  </si>
  <si>
    <t>tegevustega on alustatud ja teostatakse vastavalt tööplaanile</t>
  </si>
  <si>
    <t>Täitmine sisaldab ka tehnoloogilise võla täitmist mille vahendid eraldati 2023</t>
  </si>
  <si>
    <t>Terviseameti poolt kogutud keskkonnatervise andmed elukeskkonnast ei ole mugavalt kättesaadavad kodanikele, teadusasutustele, ettevõtetele ega ka teistel riigiasutustele.</t>
  </si>
  <si>
    <t>Terviseteadlik kodanik</t>
  </si>
  <si>
    <t>2023 aastal on teostatud uuring, milliseid teenuseid ja infot vajab kodanik</t>
  </si>
  <si>
    <t>äripaneel, andmetepaneel</t>
  </si>
  <si>
    <t>Terviseameti eelarves</t>
  </si>
  <si>
    <t>Panustab arengukava suunadadesse:  Avalike teenuste juhtimise ja kasutajakesksuse juurutamine; Andmepõhine riigivalitsemine ja andmete taaskasutus; Tulevikukindlad digiriigi platvormid: Keskselt osutatud IT-baasteenused</t>
  </si>
  <si>
    <t>Terviseamet viis läbi koostöös Tartu Ülikooliga (sandbox - https://sandbox.cs.ut.ee/ ) lühikese uuringu. Keskenduti kasutajate ehk kodanike vajadustele leida/tarbida keskkonna andmeid ning kuidas neid oleks kasutajal mugav kasutada.</t>
  </si>
  <si>
    <t xml:space="preserve">Jätkuarendused, teenuste avaandmete, aruannete jne välja näitamiseks kodanikule </t>
  </si>
  <si>
    <t>2026 - 2029</t>
  </si>
  <si>
    <t>taotlust ei rahuldatud, planeerime katta haldusala sisemiste ressursside ümberjagamise kaudu</t>
  </si>
  <si>
    <t>2023. lõpuks on analüüsi teostamiseks leitud partner ning analüüsiga alustatud. 2024. a lõpuks valmib analüüs.</t>
  </si>
  <si>
    <t>2023/2024 I kv läbi viidud raamhange partneri leidmiseks. Esimene lepingu sõlmimise aeg on 11.04, kui hanget ei vaidlustata.</t>
  </si>
  <si>
    <t>hange on läbi viidud, tegevustega alustatakse 2024</t>
  </si>
  <si>
    <t xml:space="preserve">Aruandluse automatiseerimine, sh avaandmed </t>
  </si>
  <si>
    <t>Arendused, et tagasisidet küsida süsteemis</t>
  </si>
  <si>
    <t>Juurutamise ja kommunikatsiooni tegevused</t>
  </si>
  <si>
    <t>Tuleviku tegevus</t>
  </si>
  <si>
    <t>Õigusruumi muudatused</t>
  </si>
  <si>
    <t>2024 - 2026</t>
  </si>
  <si>
    <t>tegevused planeeritud alates 2026</t>
  </si>
  <si>
    <t>ülalpidamiskulud</t>
  </si>
  <si>
    <t>tegevused planeeritud alates 2027</t>
  </si>
  <si>
    <t xml:space="preserve">2023 aasta lõpuks on teostatud hange ja leitud on partner detailanalüüsi ja arenduste läbiviimiseks. Projekti lõpuks on Terviseametil uus NAKIS infosüsteem ja loodud on kõik vajalikud liidesed teiste infosüsteemidega. 2024.a valmib detailanalüüs, arendustega alustame juba varem paralleelselt. </t>
  </si>
  <si>
    <t xml:space="preserve">2023/2024 I kv läbi viidud raamhange partneri leidmiseks. </t>
  </si>
  <si>
    <t>Paraleelselt arenduste ja analüüsiga, viib TEHIK läbi aruandluse/avaandmete ja andmelao projekti, mis hõlmab aruandeid, mis ei vaja isikuandmeid ja mille osas saab info TIS süsteemist</t>
  </si>
  <si>
    <t>Esimesed aruanded on Terviseametile loodud 2023 aasta lõpuks</t>
  </si>
  <si>
    <t>Aruannete loomisega ning aruannete skoobi kokku leppimisega on alustatud. Samuti on olemasolevate andmete pealt loodud GRIPI ja vaktsineerimise aruandeid</t>
  </si>
  <si>
    <t>NAKIS kontekstis õigusruumi muudatused ja andmete võimaldamine Terviseametile</t>
  </si>
  <si>
    <t xml:space="preserve">2026 aastaks ehk süsteemi live minekuks on vastuvõetud kõik vajalikud seaduse muudatused andmete saamiseks Terviseametil </t>
  </si>
  <si>
    <t>2023 ei olnud tegevusi planeeritud</t>
  </si>
  <si>
    <t>2025 Süsteemi keskkonnad on majutatud riigipilves</t>
  </si>
  <si>
    <t>MSA on tehnoloogiliselt vananenud süsteem, sh ei toeta tänapäevaseid tööprotsesse jne. Detailanalüüs</t>
  </si>
  <si>
    <t>2023 aastaks on läbiviidud detailanalüüs</t>
  </si>
  <si>
    <t>2023 on teostatud/lõpetatud detailanalüüs (Projekt nr 2014-2020.12.03.21-0990)</t>
  </si>
  <si>
    <t xml:space="preserve">2023 aastal viiakse läbi hange partneri leidmiseks ja võimalusel alustatakse arendustega. 2024 - 2026 arendus </t>
  </si>
  <si>
    <t>Avaandmed ja aruandlus</t>
  </si>
  <si>
    <t>Juurutamine ja rahulolu mõõtmine</t>
  </si>
  <si>
    <t>2025 Läbi on viidud tagasiside küsimine ja on selge ülevaade parandamist vajavatest kohtadest</t>
  </si>
  <si>
    <t>2026 aasta lõpuks on vaja viia läbi kõik seotud õiguruumi muudatused</t>
  </si>
  <si>
    <t xml:space="preserve">tegevustega on alustatud </t>
  </si>
  <si>
    <t>Jätkuarendused</t>
  </si>
  <si>
    <t>Tagasiside andmise tehniline lahendus</t>
  </si>
  <si>
    <t>Tervisestatistika andmekogumisel uuele metoodikale üleminek</t>
  </si>
  <si>
    <t xml:space="preserve">2023. a tulemuseks on ärianalüüsi valmimine.
2024. a jooksul valmib detailne arendusprojekti plaan. Sama aasta teises pooles minnakse hankesse arendaja leidmiseks. 
2025. - 2026. a arendatakse välja maksimaalselt parim lahendus TIS andmete kasutusele võtmiseks tervisestatistika tegemisel. Alates andmekvaliteedi tagamisest kuni andmevoogude liikumiseni TEHIK-TAI suunal. Paralleelselt testitakse arenduse toimivust ja 
2027. a on arenduse </t>
  </si>
  <si>
    <t>Arhitektuuri paneel?</t>
  </si>
  <si>
    <t xml:space="preserve">2023 aastal toimusid ärianalüüsi eelanalüüsi ettevalmistused ja osaline alustamine.
2023. aastal jäi ärianalüüs koostamata, sest riigieelarvelistele kuludele tulid kärped ja see oli üks tegevusi, mille tegemine ja valmimine lükati järgmisesse aastasse, sest alates 1.01.2024 on TAI-l võimalik kasutada MKMi andmepõhise aruandluse teadus ja arendusvahendeid ning TEHIKul Digipöörde vahendeid.  
2023. a komplekteerisime mõlemapoolselt meeskondi ja tegime eelhinnanguid, milliste teemade osas on mõistlik eelanalüüse koostama hakata.
2024 aastal on tehtud:
•	TEHIK ja TAI on kokku pannud omapoolsed esialgsed meeskonnad. TEHIKul on projektijuht määratud, TAI tegevusi koordineerib hetkel andmepõhise aruandluse rahaliste vahendite juht, kuid projektijuhti otsitakse (teine vestlusvoor kandidaatidega pooleli).
•	Neli eelanalüüsi kuuest on valmis, nende pealt tehakse otsused, millised on iga teema täpsemad tegevused, millisel teemal on suurim mõju TTOdele.
•	Andmete edastamise leping on TEHIK-SoMis koostamisel
•	TIS andmete kvaliteedi hindamiseks on TAI esitanud TEHIKule täiendavate andmete päringu (TAI TIS andmestikest puuduolevad tunnused). TEHIK on sellele andnud esialgse hinnangu - andmete laadimiseks andmelattu on vaja tellida arendus.  
</t>
  </si>
  <si>
    <t>2023. a tulemuseks on ärianalüüsi valmimine, analüüs 2023. aastal koostatakse TAI rahastusest.
2024. a jooksul valmib detailne arendusprojekti plaan. Sama aasta teises pooles minnakse hankesse arendaja leidmiseks. 
2025. - 2026. a arendatakse välja maksimaalselt parim lahendus TIS andmete kasutusele võtmiseks tervisestatistika tegemisel. Alates andmekvaliteedi tagamisest kuni andmevoogude liikumiseni TEHIK-TAI suunal. Paralleelselt testitakse arenduse toimivust ja 
2027. a on arenduse </t>
  </si>
  <si>
    <t xml:space="preserve">2024 aastal on tehtud:
•TEHIK ja TAI on kokku pannud omapoolsed esialgsed meeskonnad. TEHIKul on projektijuht määratud, TAI tegevusi koordineerib hetkel andmepõhise aruandluse rahaliste vahendite juht, kuid projektijuhti otsitakse (teine vestlusvoor kandidaatidega pooleli).
•Neli eelanalüüsi kuuest on valmis, nende pealt tehakse otsused, millised on iga teema täpsemad tegevused, millisel teemal on suurim mõju TTOdele.
•Andmete edastamise leping on TEHIK-SoMis koostamisel
•TIS andmete kvaliteedi hindamiseks on TAI esitanud TEHIKule täiendavate andmete päringu (TAI TIS andmestikest puuduolevad tunnused). TEHIK on sellele andnud esialgse hinnangu - andmete laadimiseks andmelattu on vaja tellida arendus.  </t>
  </si>
  <si>
    <t>Tervisestatistika andmekogumisel uuele metoodikale üleminek - puuduvad jätkusuutlikkuskulud</t>
  </si>
  <si>
    <t>Tervisestatistika andmekogumisel uuele metoodikale üleminek - jätkusuutlikkus</t>
  </si>
  <si>
    <t>Tagatud on tervisestatistika andmekogumise jätkusuutlikkus</t>
  </si>
  <si>
    <t xml:space="preserve">2023 hange arenduspartneri leidmiseks ja algab ärianalüüs, 2024 algab paralleelselt ka süsteemianalüüs ja arendus
Ravimiameti hallatavate ravimite kohta adekvaatse, ajakohase info kättesaadavuse parandamine kodanikele, tervishoiutöötajatele ja otsustajatele, mis toetaks ravimite efektiivset käsitlemist tervishoiusüsteemi(de)s . _x000B_- Alameesmärgiks on Ravimiameti poolt hallatavate ravimeid puudutavate andmestike ja nende andmestike haldusprotsesside korrastus
Alameesmärgiks on andmevahetussüsteemide eelduste loomine Ravimiameti ja teiste tervisevaldkonnas tegutsevate osapoolte vahel (nt Tervisekassa, haiglad, perearsti keskused, jms), tagamaks Ravimiameti andmestike vastavust kaasaegsetele standarditele
Alameesmärgiks on tagada andmekogude vaheline andmevahetus, sh tarbime andmeid selle allikast ja ei dubleeri andmeid.
Ravimite hulgimüügistatistikat puudutav andmestik on viidud andmeaita ja kasutusele on võetud analüüsilahendus. </t>
  </si>
  <si>
    <t xml:space="preserve">2024 II-III kvartalis hangime arenduspartnerit analüüsi- ja arendustööde läbiviimiseks. </t>
  </si>
  <si>
    <t>Ravimiameti analüüsilahendusel puudub jätkusuutlikkuskulude eelarve</t>
  </si>
  <si>
    <t>Ravimiameti analüüsilahenduse jätkusuutlikkuskulud</t>
  </si>
  <si>
    <t>Ravimiameti analüüsilahenduse jätkusuutlikkus on tagatud</t>
  </si>
  <si>
    <t xml:space="preserve">2023 hange arenduspartneri leidmiseks ja algab ärianalüüs ning süsteemianalüüs, 2024 algab arendus
Ravimiameti ravimitega seonduvate menetlusprotsesside ühtlustamine ja uuendamine  </t>
  </si>
  <si>
    <t xml:space="preserve">2024 a viisime rahvusvahelise hanke läbi ja II kvartalis alustame hankepartneriga arenduse jaoks vajalike analüüsitöödega. </t>
  </si>
  <si>
    <t>Puudub jätkusuutlikkuskulude eelarve  Ravimiameti ravimitega seonduvate menetlusprotsesside ühtlustamine ja uuendamine  arendusele</t>
  </si>
  <si>
    <t>Jätkusuutlikkuskulude eelarve tagamine Ravimiameti ravimitega seonduvate menetlusprotsesside ühtlustamine ja uuendamine  arendusele</t>
  </si>
  <si>
    <t>Tagatud on Ravimiameti ravimitega seonduvate menetlusprotsesside ühtlustamine ja uuendamine arenduse jätkusuutlikkus</t>
  </si>
  <si>
    <t xml:space="preserve">TEHIK </t>
  </si>
  <si>
    <t>Baaseelarves puuduvad piisavad vahendid tervise valdkonna teenuste ülalpidamiseks</t>
  </si>
  <si>
    <t>Tervise valdkonna RES lisataotlus (taakvara ja baasi puudujääk)</t>
  </si>
  <si>
    <t>vt TAA6</t>
  </si>
  <si>
    <t>taotlust ei rahuldatud, planeerime katta Tervisekassa eelarvest, tegevuste tähtaegade pikendamise ja haldusala sisemiste ressursside ümberjagamise kaudu</t>
  </si>
  <si>
    <t>Tervise valdkonna baasrahastus</t>
  </si>
  <si>
    <t>ei</t>
  </si>
  <si>
    <t>Täitmine esitatud vastavalt digipööret toetavatele tegevustele, mis viidi ellu vastavalt tööplaanile</t>
  </si>
  <si>
    <t>Tervise valdkonna baasrahastus reservis</t>
  </si>
  <si>
    <t>vt TAA7</t>
  </si>
  <si>
    <t>kõik planeeritud tegevused viidi ellu, reserv on alates 2024 liidetud baaseelarvega</t>
  </si>
  <si>
    <t>Health Sense</t>
  </si>
  <si>
    <t>projekt lõppeb 2024</t>
  </si>
  <si>
    <t>Tervise portaali analüüs ja arendamine</t>
  </si>
  <si>
    <t xml:space="preserve">Terviseportaal käivitati 27.11.2023, samal ajal suleti patsiendiportaal. </t>
  </si>
  <si>
    <t>Raviminimede hindamise krati rakendamine</t>
  </si>
  <si>
    <t>projekt on lõpetatud, eesmärgid saavutatud</t>
  </si>
  <si>
    <t>Personaalmeditsiin</t>
  </si>
  <si>
    <t>Personaalmeditsiini taristu valmis 2023 aasta suvel. Käivitamine ootab õigusruumi muudatust.  Tervisekassa peab võimalike teenuse toimimiseks vajalike algoritmide pakkujatega hanke läbirääkimisi.</t>
  </si>
  <si>
    <t>Üleriigiline vere infosüsteem (otsime teisi rahastusallkaid)</t>
  </si>
  <si>
    <t>Jätkusuutlikkulud on tagatud TEHIKu baaseelarvest</t>
  </si>
  <si>
    <t>Tegevused planeeritud alates 2024</t>
  </si>
  <si>
    <t>Puudub eelarve üleriigilise vere infosüsteemi jätkusuutlikkuse tagamiseks</t>
  </si>
  <si>
    <t>Üleriigilise vere infosüsteemi jätkusuutlikkuse tagamine</t>
  </si>
  <si>
    <t>Üleriigilise vere infosüsteemi jätkusuutlikkus on tagatud</t>
  </si>
  <si>
    <t>taotlust ei rahuldatud, planeerime katta PERHi eelarvest ja sisemiste ressursside ümberjagamise kaudu</t>
  </si>
  <si>
    <t>TIS ja UpTis arendused ja ülalpidamine</t>
  </si>
  <si>
    <t xml:space="preserve">Käivitatud tervise juhtimise töölaua teenus, arendatud patsiendi üldandmete teenus, arendatud upTIS baasplatvormi, loodud tervishoiuspetsialistidele andmete TIS-i edastamise võimalus </t>
  </si>
  <si>
    <t>MISP haldus</t>
  </si>
  <si>
    <t>jätkusuutlikkuskulud taotletakse RES 2024-2027 protsessis</t>
  </si>
  <si>
    <t>Otsustustoe teenus on hallatud ja väikearendused tehtud</t>
  </si>
  <si>
    <t>EESSI andmevahetusteenus, RINA haldus</t>
  </si>
  <si>
    <t>vt TAA8</t>
  </si>
  <si>
    <t>Otsustustugi</t>
  </si>
  <si>
    <t>EHK kasutajatoe 24/7 tagamine</t>
  </si>
  <si>
    <t>Jätkusuutlikkuskulud taotleme RES2024-2027 protsessis</t>
  </si>
  <si>
    <t>Kasutajatoe teenus on tagatud</t>
  </si>
  <si>
    <t>Terviseameti menetlussüsteem MEIS</t>
  </si>
  <si>
    <t>Mürgistusteabe keskuse infosüsteem (MTK)</t>
  </si>
  <si>
    <t>Reovee seire IT infrastruktuuri loomine</t>
  </si>
  <si>
    <t>lahendus loodud MEDREs</t>
  </si>
  <si>
    <t>Patsiendiohutuse andmebaasi arendus</t>
  </si>
  <si>
    <t>tegevustega on alutatud ja lõpetatakse 2024</t>
  </si>
  <si>
    <t>Patsiendikindlustuse arendus MEDRE 2</t>
  </si>
  <si>
    <t>MEIS turvatestimine</t>
  </si>
  <si>
    <t>teostatud</t>
  </si>
  <si>
    <t>Patsiendiohutuse veebikoolituste keskkond</t>
  </si>
  <si>
    <t>Terviseametile üle antud, tegevus ei ole otseselt IKTga seotud</t>
  </si>
  <si>
    <t>Laboriseadmete infosüsteem (LAB) 2023</t>
  </si>
  <si>
    <t>Terviseameti otsusega peatatud</t>
  </si>
  <si>
    <t>Medre jätkuarendused</t>
  </si>
  <si>
    <t>alustatud ja jätkuvad 2024</t>
  </si>
  <si>
    <t>Mürgistusteabe keskuse andmeladu</t>
  </si>
  <si>
    <t>Jätkusuutlikkuskulud on TEHIK baaseelarvest tagatud.</t>
  </si>
  <si>
    <t>teostatud, sisseostu asemel kasutati TEHIKu tööjõuga</t>
  </si>
  <si>
    <t>EL kliiniliste uuringute määruse rakendamisega seotud IT lahendus</t>
  </si>
  <si>
    <t>projekt mis lõpetatud, eesmärgid saavutatud</t>
  </si>
  <si>
    <t>Samtrack 2 migratsioon Samtrack 1 2023</t>
  </si>
  <si>
    <t>EU veterinaarravimite määruse jõustumine/UPD liidestumine SPOR API v2</t>
  </si>
  <si>
    <t>tesotatud</t>
  </si>
  <si>
    <t>Taavi Annus</t>
  </si>
  <si>
    <t>E-tervise valitsemisraamistiku rakendamine, tervisevldkonna e-teenuste jätkusuutlikkuse tagamine läbi tugeva, selge ja koostööl põhineva strateegilise juhtimise</t>
  </si>
  <si>
    <t>2023. aastal on valitsemismudeli rakendamisega edukalt jätkatud. Edukalt on tööle rakendatud portfellihalduse protsess ja teenuste arendamist toetav tervisevaldkonna arhitektuuripaneel ja teised toetavad kogud.  Teenuste jätkusuutlikkuse tagamisel on teenused jaotatud teenusgruppideks ning nendele on leitud äriomanikud. Alustatud on teenuste kvaliteedi ja kuluefektiivsuse tõstmise analüüsiga, mille rakendamine algab 2024. aastal.</t>
  </si>
  <si>
    <t>Värbamised lükkusid 2024. aastasse. Raha soovime kasutada 2024 ja 2025 aastal</t>
  </si>
  <si>
    <t xml:space="preserve">Rahastus oli planeeritud kohe 2024. aastasse. HSPA mõõdikud on välja töötatud, praegu toimub indikaatorite kirjeldamine. Rahastus on planeeritud indikaatorite juhtimislaua arendamiseks/loomiseks. Esimene mõõtmine 2024 lõpus, peale seda näidikulaud. </t>
  </si>
  <si>
    <t>Tulenevalt majandus- ja infotehnoloogiaministri 25. augusti 2023. a käskkirja „Toetuse andmise tingimused valdkondlike digipöörete toetamiseks“ punktist 8.4. allkirjastan/kinnitan Sotsiaalministeeriumi tervise valdkonna digipöörde tegevuskava.</t>
  </si>
  <si>
    <t>Valdkondliku digipöörde tegevuskava – Sotsiaalministeerium</t>
  </si>
  <si>
    <r>
      <t>Digipöörde eesmärk:</t>
    </r>
    <r>
      <rPr>
        <sz val="11"/>
        <rFont val="Calibri"/>
        <family val="2"/>
        <charset val="186"/>
        <scheme val="minor"/>
      </rPr>
      <t> </t>
    </r>
  </si>
  <si>
    <t xml:space="preserve">Tervisevaldkond – Valdkonna digipöörde eesmärk aastaks 2027 – Eesti inimestel on tänu tervisevaldkonna infosüsteemidele parem ülevaade ja suurem kontroll oma tervise üle; nutikad lahendused tagavad ravi järjepidevuse, parendavad kliinilisi protsesse ning säästavad inimestega tegelevate spetsialistide aega; kvaliteetne ja kättesaadav terviseandmestik võimaldab teha kiiremaid ja paremaid otsuseid, tagada teenuste kvaliteedi ja toetab teadus- ja arendustegevust. 
Sotsiaalkaitse valdkond - Valdkonna digipöörde eesmärk aastaks 2028 – Eesti inimestel on sotsiaalkaitse valdkonna teenused kiirelt ja mugavalt kättesaadavad, teenused annavad inimesele tervikvaate, valdkonna teenused on 50% ulatuses proaktiivsed ja sündmuspõhised, IT-süsteemide arendamise tulemusena on vähenenud menetlejate ja KOV menetlusprotsessi peale kulutatav aeg kuni 30%, kogutud andmed on võrreldavad. </t>
  </si>
  <si>
    <r>
      <t>Digipöörde tegevuskava eesmärk:</t>
    </r>
    <r>
      <rPr>
        <sz val="11"/>
        <color theme="1"/>
        <rFont val="Calibri"/>
        <family val="2"/>
        <charset val="186"/>
        <scheme val="minor"/>
      </rPr>
      <t> </t>
    </r>
  </si>
  <si>
    <t xml:space="preserve">Sotsiaalministeeriumi valdkondliku digipöörde 2023-2025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</si>
  <si>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</si>
  <si>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</si>
  <si>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</si>
  <si>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</si>
  <si>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</si>
  <si>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</si>
  <si>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 xml:space="preserve">Sotsiaalministeeriumi valdkondliku digipöörde sotsiaalkaitse valdkonnna 2023-2025 maksumus ilma käibemaksuta: </t>
  </si>
  <si>
    <t xml:space="preserve">Sotsiaalministeeriumi valdkondliku digipöörde tervise valdkonnna 2023-2025 maksumus ilma käibemaksuta: </t>
  </si>
  <si>
    <t>Sotsiaalministeeriumi valdkondliku digipöörde sotsiaalkaitse valdkonna 2023-2025 SF 2021-2027 toetuse summa koos käibemaksuga</t>
  </si>
  <si>
    <t>Sotsiaalministeeriumi valdkondliku digipöörde tervisee valdkonna 2023-2025 SF 2021-2027 toetuse summa koos käibemaksuga</t>
  </si>
  <si>
    <r>
      <t>2025</t>
    </r>
    <r>
      <rPr>
        <sz val="11"/>
        <rFont val="Calibri"/>
        <family val="2"/>
        <charset val="186"/>
        <scheme val="minor"/>
      </rPr>
      <t> </t>
    </r>
  </si>
  <si>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</si>
  <si>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</si>
  <si>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</si>
  <si>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Ministeerium (elluviija) /
partner</t>
  </si>
  <si>
    <t>Rahastuse allikas / meetme tegevus (SF)</t>
  </si>
  <si>
    <t>2023 kokku</t>
  </si>
  <si>
    <t>2024 kokku</t>
  </si>
  <si>
    <t>2025 kokku</t>
  </si>
  <si>
    <t>(EA konto)</t>
  </si>
  <si>
    <t>KOKKU</t>
  </si>
  <si>
    <t>Summa koos käibemaksuga:</t>
  </si>
  <si>
    <t>Sotsiaalministeeriumi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</si>
  <si>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</si>
  <si>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</si>
  <si>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</si>
  <si>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</si>
  <si>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</si>
  <si>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</si>
  <si>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</si>
  <si>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Sotsiaalministeerium</t>
  </si>
  <si>
    <t>x</t>
  </si>
  <si>
    <t>EELARVE KOKKU</t>
  </si>
  <si>
    <t>2023
algtase</t>
  </si>
  <si>
    <t>2024
sihttase</t>
  </si>
  <si>
    <t>2025
sihttase</t>
  </si>
  <si>
    <t>2026
sihttase</t>
  </si>
  <si>
    <t>2027
sihttase</t>
  </si>
  <si>
    <t>2028
sihttase</t>
  </si>
  <si>
    <t>2029
sihttase</t>
  </si>
  <si>
    <t>2030
lõpptase</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</si>
  <si>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</si>
  <si>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</si>
  <si>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</si>
  <si>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</si>
  <si>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</si>
  <si>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</si>
  <si>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</si>
  <si>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</si>
  <si>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</si>
  <si>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</si>
  <si>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</si>
  <si>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</si>
  <si>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</si>
  <si>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</si>
  <si>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</si>
  <si>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</si>
  <si>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</si>
  <si>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</si>
  <si>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</si>
  <si>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Calibri"/>
        <family val="2"/>
      </rPr>
      <t>​</t>
    </r>
  </si>
  <si>
    <r>
      <t>01.01.2025*</t>
    </r>
    <r>
      <rPr>
        <sz val="11"/>
        <color rgb="FF000000"/>
        <rFont val="Calibri"/>
        <family val="2"/>
      </rPr>
      <t>​</t>
    </r>
  </si>
  <si>
    <r>
      <t>01.01.2026*</t>
    </r>
    <r>
      <rPr>
        <sz val="11"/>
        <color rgb="FF000000"/>
        <rFont val="Calibri"/>
        <family val="2"/>
      </rPr>
      <t>​</t>
    </r>
  </si>
  <si>
    <r>
      <t>01.01.2027*</t>
    </r>
    <r>
      <rPr>
        <sz val="11"/>
        <color rgb="FF000000"/>
        <rFont val="Calibri"/>
        <family val="2"/>
      </rPr>
      <t>​</t>
    </r>
  </si>
  <si>
    <t>Töötajate arv ​</t>
  </si>
  <si>
    <t>Kasv​ (%, võrrelduna eelmise aastaga)</t>
  </si>
  <si>
    <t>* Prognoos</t>
  </si>
  <si>
    <t>Seisuga 01.01.2023</t>
  </si>
  <si>
    <t>Seisuga 01.01.2024</t>
  </si>
  <si>
    <t>IKT Personal</t>
  </si>
  <si>
    <t>Täidetud/olemas</t>
  </si>
  <si>
    <t>Täitmata</t>
  </si>
  <si>
    <t>Andmeait</t>
  </si>
  <si>
    <t>Andmeanalüüs ja -seire</t>
  </si>
  <si>
    <t>IT - andmeturve</t>
  </si>
  <si>
    <t>IT-arvutigraafika</t>
  </si>
  <si>
    <t>IT - juhtimine</t>
  </si>
  <si>
    <t>IT - konsultandid</t>
  </si>
  <si>
    <t>IT - projektijuhtimine</t>
  </si>
  <si>
    <t>IT - süsteemiadministratsioon</t>
  </si>
  <si>
    <t>IT - süsteemianalüüs</t>
  </si>
  <si>
    <t>IT - süsteemiarhitektuur</t>
  </si>
  <si>
    <t>IT - tarkvara programmeerimine</t>
  </si>
  <si>
    <t>IT - teenuste tugi</t>
  </si>
  <si>
    <t>IT - testimine</t>
  </si>
  <si>
    <t>Organisatsiooni protsessid</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</si>
  <si>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</si>
  <si>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</si>
  <si>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</si>
  <si>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</si>
  <si>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</si>
  <si>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</si>
  <si>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</si>
  <si>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</si>
  <si>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</si>
  <si>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</si>
  <si>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</si>
  <si>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</si>
  <si>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</si>
  <si>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</si>
  <si>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</si>
  <si>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</si>
  <si>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</si>
  <si>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</si>
  <si>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</si>
  <si>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</si>
  <si>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</si>
  <si>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</si>
  <si>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</si>
  <si>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</si>
  <si>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</si>
  <si>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</si>
  <si>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</si>
  <si>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</si>
  <si>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</si>
  <si>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</si>
  <si>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</si>
  <si>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</si>
  <si>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</si>
  <si>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</si>
  <si>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</si>
  <si>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</si>
  <si>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</si>
  <si>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</si>
  <si>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Algatus</t>
  </si>
  <si>
    <t>HSPA mõõdikute mõõtmisprotsesside väljatöötamine</t>
  </si>
  <si>
    <t>Digipöörde elluviimiseks vajalik personal (digipöördest rahastatud)</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</si>
  <si>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</si>
  <si>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</si>
  <si>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</si>
  <si>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</si>
  <si>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</si>
  <si>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</si>
  <si>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</si>
  <si>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</si>
  <si>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</si>
  <si>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</si>
  <si>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</si>
  <si>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</si>
  <si>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</si>
  <si>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</si>
  <si>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</si>
  <si>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</si>
  <si>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</si>
  <si>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</si>
  <si>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</si>
  <si>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</si>
  <si>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</si>
  <si>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</si>
  <si>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</si>
  <si>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</si>
  <si>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</si>
  <si>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Äri- ja tegevusvaldkonna analüüs</t>
  </si>
  <si>
    <t>jah</t>
  </si>
  <si>
    <t>värvatud</t>
  </si>
  <si>
    <t>kogu digipöörde ajaks</t>
  </si>
  <si>
    <t>SF</t>
  </si>
  <si>
    <t>Ravimiameti analüüsilahenduse loomine </t>
  </si>
  <si>
    <t>tuleb värvata</t>
  </si>
  <si>
    <t>koormus digipöördes alates 2024, panustab 0,5 koormusega sotsiaalkaitse digipöördesse ja 0,5 koormusega tervise valdkonna digipöördesse</t>
  </si>
  <si>
    <t>andmekorraldusanalüütik</t>
  </si>
  <si>
    <t>andmelao arendaja</t>
  </si>
  <si>
    <t xml:space="preserve">Muud digipöörde elluviimist toetavad rollid </t>
  </si>
  <si>
    <t>RE/Muu</t>
  </si>
  <si>
    <t>Jah/ei</t>
  </si>
  <si>
    <t>varieeruv, sõltuvalt projekti etapist</t>
  </si>
  <si>
    <t>Digipöörde arendusalgatuste elluviimiseks vajalik personal</t>
  </si>
  <si>
    <t>jah/ei</t>
  </si>
  <si>
    <t>Muud digipöörde elluviimist toetavad rollid (ei ole ainult ühe arendusalgatusega seotud)</t>
  </si>
  <si>
    <t>Mitmed projektid</t>
  </si>
  <si>
    <t>RE/SOM TAT</t>
  </si>
  <si>
    <t>panustab digipöörde RE ja SOM TAT rahastusega projektidesse</t>
  </si>
  <si>
    <t>panustab digipöörde RE rahastusega projektidesse</t>
  </si>
  <si>
    <t>panustab digipöörde RE ja SOM TAT rahastusega algatustesse</t>
  </si>
  <si>
    <t>RE</t>
  </si>
  <si>
    <t>panustab digipöörde RE rahastusega algatustesse</t>
  </si>
  <si>
    <t xml:space="preserve">2024 I kvartal hange arenduspartneri leidmiseks , 2024 III kvartal algab ärianalüüs, süsteemianalüüs. ja arendus. 
Ravimiameti ravimitega seonduvate menetlusprotsesside ühtlustamine ja uuendamine . 2025 aasta lõpuks on planeeritud, et Ravimiameti infosüsteemi Samtrack 2 on 
-	loodud/integreeritud funktsionaalsusi, mis oleks kooskõlas Samtrack 2 loogikaga ja toetavad Ravimiameti maaletoomislubade, müügiloata ravimite ja narkootiliste ja psühhotroopsete ravimite menetlust ning eriluba nõudvate kaupade ja ravimite ning ravimite tarneraskuste toiminguid, mida hetkel teostatakse vananenud infosüsteemide toel. </t>
  </si>
  <si>
    <t>2024 suvi hange arenduspartneri leidmiseks ja algab ärianalüüs, IV kvartalis algab paralleelselt ka süsteemianalüüs ja arendus
Ravimiameti hallatavate ravimite kohta adekvaatse, ajakohase info kättesaadavuse parandamine kodanikele, tervishoiutöötajatele ja otsustajatele, mis toetaks ravimite efektiivset käsitlemist tervishoiusüsteemi(de)s . - Alameesmärgiks on Ravimiameti poolt hallatavate ravimeid puudutavate andmestike ja nende andmestike haldusprotsesside korrastus
Alameesmärgiks on andmevahetussüsteemide eelduste loomine Ravimiameti ja teiste tervisevaldkonnas tegutsevate osapoolte vahel (nt Tervisekassa, haiglad, perearsti keskused, jms), tagamaks Ravimiameti andmestike vastavust kaasaegsetele standarditele
Alameesmärgiks on tagada andmekogude vaheline andmevahetus, sh tarbime andmeid selle allikast ja ei dubleeri andmeid.
Ravimite hulgimüügistatistikat puudutav andmestik on viidud andmeaita ja kasutusele on võetud analüüsilahendus.  2025 aasta lõpuks on planeeritud, et on 
-	olemas analüüsid uue lahenduse kavandina
-	rakendatud automatiseeritud kontrolltoimingud andmekvaliteedi tagamiseks
-	uuendatud andmekorjeprotsess</t>
  </si>
  <si>
    <t>IT-juhtimine</t>
  </si>
  <si>
    <t>Poliitikakujundamine</t>
  </si>
  <si>
    <t>GOV SSO</t>
  </si>
  <si>
    <t>Tööjõukulu digipöördes</t>
  </si>
  <si>
    <r>
      <t xml:space="preserve">Kalkulatsioon ja  allika põhjendus
</t>
    </r>
    <r>
      <rPr>
        <sz val="11"/>
        <rFont val="Calibri"/>
        <family val="2"/>
        <scheme val="minor"/>
      </rPr>
      <t>Võimalusel kirjeldada siin lahtris, kui on põhjalikum tabeli kujul kalkulatsioon, siis see tuua välja eraldi Exceli lehel ja siin vastava rea lahtris sellele viidata.</t>
    </r>
  </si>
  <si>
    <t>alates augustist 2024</t>
  </si>
  <si>
    <t>alates maist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</si>
</sst>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59"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b/>
      <sz val="11"/>
      <name val="Calibri"/>
      <family val="2"/>
      <charset val="186"/>
      <scheme val="minor"/>
    </font>
    <font>
      <b/>
      <i/>
      <sz val="11"/>
      <name val="Calibri"/>
      <family val="2"/>
      <charset val="186"/>
    </font>
    <font>
      <b/>
      <u/>
      <sz val="11"/>
      <name val="Calibri"/>
      <family val="2"/>
      <charset val="186"/>
      <scheme val="minor"/>
    </font>
    <font>
      <i/>
      <sz val="11"/>
      <name val="Calibri"/>
      <family val="2"/>
      <charset val="186"/>
      <scheme val="minor"/>
    </font>
    <font>
      <sz val="11"/>
      <color theme="1"/>
      <name val="Calibri"/>
      <family val="2"/>
    </font>
    <font>
      <sz val="11"/>
      <color rgb="FF000000"/>
      <name val="Calibri"/>
      <family val="2"/>
    </font>
    <font>
      <b/>
      <sz val="11"/>
      <color rgb="FF000000"/>
      <name val="Calibri"/>
      <family val="2"/>
    </font>
    <font>
      <b/>
      <sz val="12"/>
      <color theme="1"/>
      <name val="Calibri"/>
      <family val="2"/>
    </font>
    <font>
      <sz val="11"/>
      <color rgb="FF0070C0"/>
      <name val="Calibri"/>
      <family val="2"/>
    </font>
    <font>
      <sz val="11"/>
      <color rgb="FF0070C0"/>
      <name val="Calibri"/>
      <family val="2"/>
      <scheme val="minor"/>
    </font>
    <font>
      <sz val="11"/>
      <color rgb="FF0070C0"/>
      <name val="Calibri"/>
      <family val="2"/>
      <charset val="186"/>
      <scheme val="minor"/>
    </font>
    <font>
      <sz val="11"/>
      <color rgb="FF4472C4"/>
      <name val="Calibri"/>
      <family val="2"/>
      <charset val="186"/>
      <scheme val="minor"/>
    </font>
    <font>
      <b/>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A9D08E"/>
        <bgColor rgb="FF000000"/>
      </patternFill>
    </fill>
  </fills>
  <borders count="11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indexed="64"/>
      </right>
      <top style="thin">
        <color indexed="64"/>
      </top>
      <bottom style="medium">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indexed="64"/>
      </top>
      <bottom style="medium">
        <color rgb="FF000000"/>
      </bottom>
      <diagonal/>
    </border>
  </borders>
  <cellStyleXfs count="2">
    <xf numFmtId="0" fontId="0" fillId="0" borderId="0"/>
    <xf numFmtId="0" fontId="22" fillId="5" borderId="0" applyNumberFormat="0" applyBorder="0" applyAlignment="0" applyProtection="0"/>
  </cellStyleXfs>
  <cellXfs count="792">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19" fillId="0" borderId="17" xfId="0" applyNumberFormat="1" applyFont="1" applyBorder="1" applyAlignment="1">
      <alignment vertical="top"/>
    </xf>
    <xf numFmtId="3" fontId="19" fillId="0" borderId="15" xfId="0" applyNumberFormat="1" applyFont="1" applyBorder="1" applyAlignment="1">
      <alignment vertical="top"/>
    </xf>
    <xf numFmtId="3" fontId="19" fillId="0" borderId="35" xfId="0" applyNumberFormat="1" applyFont="1" applyBorder="1" applyAlignment="1">
      <alignment vertical="top"/>
    </xf>
    <xf numFmtId="0" fontId="1" fillId="0" borderId="0" xfId="0" applyFont="1" applyAlignment="1">
      <alignment vertical="top"/>
    </xf>
    <xf numFmtId="0" fontId="18"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4" fillId="0" borderId="28" xfId="0" applyFont="1" applyBorder="1" applyAlignment="1">
      <alignment horizontal="center" vertical="top" wrapText="1"/>
    </xf>
    <xf numFmtId="0" fontId="24" fillId="0" borderId="51" xfId="0" applyFont="1" applyBorder="1" applyAlignment="1">
      <alignment horizontal="center" vertical="top" wrapText="1"/>
    </xf>
    <xf numFmtId="0" fontId="24" fillId="0" borderId="34" xfId="0" applyFont="1" applyBorder="1" applyAlignment="1">
      <alignment horizontal="left" vertical="top" wrapText="1"/>
    </xf>
    <xf numFmtId="3" fontId="24" fillId="0" borderId="33" xfId="0" applyNumberFormat="1" applyFont="1" applyBorder="1" applyAlignment="1">
      <alignment vertical="top" wrapText="1"/>
    </xf>
    <xf numFmtId="3" fontId="24" fillId="0" borderId="53" xfId="0" applyNumberFormat="1" applyFont="1" applyBorder="1" applyAlignment="1">
      <alignment vertical="top" wrapText="1"/>
    </xf>
    <xf numFmtId="0" fontId="0" fillId="0" borderId="54" xfId="0" applyBorder="1" applyAlignment="1">
      <alignment vertical="top" wrapText="1"/>
    </xf>
    <xf numFmtId="3" fontId="25"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4" xfId="0" applyFont="1" applyBorder="1" applyAlignment="1">
      <alignment horizontal="center" vertical="top" wrapText="1"/>
    </xf>
    <xf numFmtId="0" fontId="24" fillId="0" borderId="23" xfId="0" applyFont="1" applyBorder="1" applyAlignment="1">
      <alignment horizontal="left" vertical="top" wrapText="1"/>
    </xf>
    <xf numFmtId="0" fontId="11" fillId="0" borderId="56" xfId="0" applyFont="1" applyBorder="1" applyAlignment="1">
      <alignment horizontal="center" vertical="top" wrapText="1"/>
    </xf>
    <xf numFmtId="0" fontId="11" fillId="0" borderId="57"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3" fillId="0" borderId="0" xfId="0" applyFont="1" applyAlignment="1">
      <alignment vertical="top" wrapText="1"/>
    </xf>
    <xf numFmtId="0" fontId="29" fillId="6" borderId="60" xfId="0" applyFont="1" applyFill="1" applyBorder="1" applyAlignment="1">
      <alignment vertical="top" wrapText="1"/>
    </xf>
    <xf numFmtId="0" fontId="31" fillId="7" borderId="61" xfId="0" applyFont="1" applyFill="1" applyBorder="1" applyAlignment="1">
      <alignment vertical="top"/>
    </xf>
    <xf numFmtId="0" fontId="29" fillId="7" borderId="61" xfId="0" applyFont="1" applyFill="1" applyBorder="1" applyAlignment="1">
      <alignment vertical="top"/>
    </xf>
    <xf numFmtId="3" fontId="31" fillId="7" borderId="62" xfId="0" applyNumberFormat="1" applyFont="1" applyFill="1" applyBorder="1" applyAlignment="1">
      <alignment vertical="top"/>
    </xf>
    <xf numFmtId="0" fontId="31" fillId="7" borderId="65" xfId="0" applyFont="1" applyFill="1" applyBorder="1" applyAlignment="1">
      <alignment vertical="top"/>
    </xf>
    <xf numFmtId="3" fontId="31" fillId="7" borderId="64" xfId="0" applyNumberFormat="1" applyFont="1" applyFill="1" applyBorder="1" applyAlignment="1">
      <alignment vertical="top"/>
    </xf>
    <xf numFmtId="3" fontId="29" fillId="7" borderId="27" xfId="0" applyNumberFormat="1" applyFont="1" applyFill="1" applyBorder="1" applyAlignment="1">
      <alignment vertical="top"/>
    </xf>
    <xf numFmtId="0" fontId="31" fillId="7" borderId="27" xfId="0" applyFont="1" applyFill="1" applyBorder="1" applyAlignment="1">
      <alignment vertical="top"/>
    </xf>
    <xf numFmtId="0" fontId="29" fillId="7" borderId="27" xfId="0" applyFont="1" applyFill="1" applyBorder="1" applyAlignment="1">
      <alignment vertical="top"/>
    </xf>
    <xf numFmtId="0" fontId="31" fillId="7" borderId="66" xfId="0" applyFont="1" applyFill="1" applyBorder="1" applyAlignment="1">
      <alignment vertical="top"/>
    </xf>
    <xf numFmtId="0" fontId="31" fillId="7" borderId="29" xfId="0" applyFont="1" applyFill="1" applyBorder="1" applyAlignment="1">
      <alignment vertical="top"/>
    </xf>
    <xf numFmtId="0" fontId="31" fillId="7" borderId="54" xfId="0" applyFont="1" applyFill="1" applyBorder="1" applyAlignment="1">
      <alignment vertical="top"/>
    </xf>
    <xf numFmtId="0" fontId="31" fillId="7" borderId="58" xfId="0" applyFont="1" applyFill="1" applyBorder="1" applyAlignment="1">
      <alignment vertical="top"/>
    </xf>
    <xf numFmtId="0" fontId="0" fillId="0" borderId="54" xfId="0" applyBorder="1" applyAlignment="1">
      <alignment vertical="top"/>
    </xf>
    <xf numFmtId="0" fontId="31" fillId="7" borderId="56" xfId="0" applyFont="1" applyFill="1" applyBorder="1" applyAlignment="1">
      <alignment vertical="top"/>
    </xf>
    <xf numFmtId="3" fontId="31" fillId="7" borderId="67" xfId="0" applyNumberFormat="1" applyFont="1" applyFill="1" applyBorder="1" applyAlignment="1">
      <alignment vertical="top"/>
    </xf>
    <xf numFmtId="0" fontId="31" fillId="7" borderId="57" xfId="0" applyFont="1" applyFill="1" applyBorder="1" applyAlignment="1">
      <alignment vertical="top"/>
    </xf>
    <xf numFmtId="0" fontId="0" fillId="0" borderId="13" xfId="0" applyBorder="1" applyAlignment="1">
      <alignment horizontal="left" vertical="top"/>
    </xf>
    <xf numFmtId="0" fontId="0" fillId="0" borderId="54"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1" xfId="0" applyNumberFormat="1" applyFont="1" applyFill="1" applyBorder="1" applyAlignment="1">
      <alignment horizontal="center" vertical="top" wrapText="1"/>
    </xf>
    <xf numFmtId="0" fontId="34" fillId="0" borderId="40" xfId="0" applyFont="1" applyBorder="1" applyAlignment="1">
      <alignment vertical="top" wrapText="1"/>
    </xf>
    <xf numFmtId="0" fontId="34" fillId="0" borderId="73" xfId="0" applyFont="1" applyBorder="1" applyAlignment="1">
      <alignment vertical="top" wrapText="1"/>
    </xf>
    <xf numFmtId="0" fontId="4" fillId="0" borderId="0" xfId="0" applyFont="1" applyAlignment="1">
      <alignment vertical="top"/>
    </xf>
    <xf numFmtId="3" fontId="27" fillId="7" borderId="27" xfId="0" applyNumberFormat="1" applyFont="1" applyFill="1" applyBorder="1" applyAlignment="1">
      <alignment vertical="top"/>
    </xf>
    <xf numFmtId="0" fontId="26" fillId="7" borderId="27" xfId="0" applyFont="1" applyFill="1" applyBorder="1" applyAlignment="1">
      <alignment vertical="top"/>
    </xf>
    <xf numFmtId="0" fontId="27" fillId="7" borderId="27" xfId="0" applyFont="1" applyFill="1" applyBorder="1" applyAlignment="1">
      <alignment vertical="top"/>
    </xf>
    <xf numFmtId="0" fontId="26" fillId="7" borderId="66" xfId="0" applyFont="1" applyFill="1" applyBorder="1" applyAlignment="1">
      <alignment vertical="top"/>
    </xf>
    <xf numFmtId="0" fontId="26" fillId="7" borderId="29" xfId="0" applyFont="1" applyFill="1" applyBorder="1" applyAlignment="1">
      <alignment vertical="top"/>
    </xf>
    <xf numFmtId="3" fontId="26" fillId="7" borderId="62" xfId="0" applyNumberFormat="1" applyFont="1" applyFill="1" applyBorder="1" applyAlignment="1">
      <alignment vertical="top"/>
    </xf>
    <xf numFmtId="0" fontId="26" fillId="7" borderId="54" xfId="0" applyFont="1" applyFill="1" applyBorder="1" applyAlignment="1">
      <alignment vertical="top"/>
    </xf>
    <xf numFmtId="0" fontId="26" fillId="7" borderId="65" xfId="0" applyFont="1" applyFill="1" applyBorder="1" applyAlignment="1">
      <alignment vertical="top"/>
    </xf>
    <xf numFmtId="3" fontId="26" fillId="7" borderId="64" xfId="0" applyNumberFormat="1" applyFont="1" applyFill="1" applyBorder="1" applyAlignment="1">
      <alignment vertical="top"/>
    </xf>
    <xf numFmtId="0" fontId="26" fillId="7" borderId="58" xfId="0" applyFont="1" applyFill="1" applyBorder="1" applyAlignment="1">
      <alignment vertical="top"/>
    </xf>
    <xf numFmtId="3" fontId="27" fillId="7" borderId="61" xfId="0" applyNumberFormat="1" applyFont="1" applyFill="1" applyBorder="1" applyAlignment="1">
      <alignment vertical="top"/>
    </xf>
    <xf numFmtId="0" fontId="27" fillId="7" borderId="61" xfId="0" applyFont="1" applyFill="1" applyBorder="1" applyAlignment="1">
      <alignment vertical="top"/>
    </xf>
    <xf numFmtId="3" fontId="26" fillId="7" borderId="56" xfId="0" applyNumberFormat="1" applyFont="1" applyFill="1" applyBorder="1" applyAlignment="1">
      <alignment vertical="top"/>
    </xf>
    <xf numFmtId="0" fontId="26" fillId="7" borderId="56" xfId="0" applyFont="1" applyFill="1" applyBorder="1" applyAlignment="1">
      <alignment vertical="top"/>
    </xf>
    <xf numFmtId="3" fontId="26" fillId="7" borderId="67" xfId="0" applyNumberFormat="1" applyFont="1" applyFill="1" applyBorder="1" applyAlignment="1">
      <alignment vertical="top"/>
    </xf>
    <xf numFmtId="0" fontId="26" fillId="7" borderId="57" xfId="0" applyFont="1" applyFill="1" applyBorder="1" applyAlignment="1">
      <alignment vertical="top"/>
    </xf>
    <xf numFmtId="3" fontId="26" fillId="7" borderId="0" xfId="0" applyNumberFormat="1" applyFont="1" applyFill="1" applyAlignment="1">
      <alignment vertical="top"/>
    </xf>
    <xf numFmtId="0" fontId="26" fillId="7" borderId="0" xfId="0" applyFont="1" applyFill="1" applyAlignment="1">
      <alignment vertical="top"/>
    </xf>
    <xf numFmtId="3" fontId="26" fillId="7" borderId="65" xfId="0" applyNumberFormat="1" applyFont="1" applyFill="1" applyBorder="1" applyAlignment="1">
      <alignment vertical="top"/>
    </xf>
    <xf numFmtId="3" fontId="27" fillId="7" borderId="45" xfId="0" applyNumberFormat="1" applyFont="1" applyFill="1" applyBorder="1" applyAlignment="1">
      <alignment vertical="top"/>
    </xf>
    <xf numFmtId="0" fontId="26" fillId="7" borderId="78" xfId="0" applyFont="1" applyFill="1" applyBorder="1" applyAlignment="1">
      <alignment vertical="top"/>
    </xf>
    <xf numFmtId="3" fontId="26" fillId="7" borderId="79" xfId="0" applyNumberFormat="1" applyFont="1" applyFill="1" applyBorder="1" applyAlignment="1">
      <alignment vertical="top"/>
    </xf>
    <xf numFmtId="0" fontId="26" fillId="7" borderId="80" xfId="0" applyFont="1" applyFill="1" applyBorder="1" applyAlignment="1">
      <alignment vertical="top"/>
    </xf>
    <xf numFmtId="3" fontId="26" fillId="7" borderId="2" xfId="0" applyNumberFormat="1" applyFont="1" applyFill="1" applyBorder="1" applyAlignment="1">
      <alignment vertical="top"/>
    </xf>
    <xf numFmtId="0" fontId="26" fillId="7" borderId="74" xfId="0" applyFont="1" applyFill="1" applyBorder="1" applyAlignment="1">
      <alignment vertical="top"/>
    </xf>
    <xf numFmtId="0" fontId="0" fillId="0" borderId="78" xfId="0" applyBorder="1" applyAlignment="1">
      <alignment vertical="top"/>
    </xf>
    <xf numFmtId="0" fontId="0" fillId="0" borderId="44" xfId="0" applyBorder="1" applyAlignment="1">
      <alignment vertical="top"/>
    </xf>
    <xf numFmtId="0" fontId="26" fillId="7" borderId="44" xfId="0" applyFont="1" applyFill="1" applyBorder="1" applyAlignment="1">
      <alignment vertical="top"/>
    </xf>
    <xf numFmtId="0" fontId="27" fillId="7" borderId="78" xfId="0" applyFont="1" applyFill="1" applyBorder="1" applyAlignment="1">
      <alignment vertical="top"/>
    </xf>
    <xf numFmtId="3" fontId="24" fillId="0" borderId="30" xfId="0" applyNumberFormat="1" applyFont="1" applyBorder="1" applyAlignment="1">
      <alignment horizontal="right" vertical="top" wrapText="1"/>
    </xf>
    <xf numFmtId="3" fontId="24" fillId="0" borderId="36" xfId="0" applyNumberFormat="1" applyFont="1" applyBorder="1" applyAlignment="1">
      <alignment horizontal="right" vertical="top" wrapText="1"/>
    </xf>
    <xf numFmtId="0" fontId="35" fillId="0" borderId="52" xfId="0" applyFont="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37"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3" fontId="29" fillId="7" borderId="0" xfId="0" applyNumberFormat="1" applyFont="1" applyFill="1" applyAlignment="1">
      <alignment vertical="top"/>
    </xf>
    <xf numFmtId="0" fontId="31" fillId="7" borderId="0" xfId="0" applyFont="1" applyFill="1" applyAlignment="1">
      <alignment vertical="top"/>
    </xf>
    <xf numFmtId="0" fontId="29" fillId="7" borderId="0" xfId="0" applyFont="1" applyFill="1" applyAlignment="1">
      <alignment vertical="top"/>
    </xf>
    <xf numFmtId="0" fontId="31" fillId="7" borderId="63" xfId="0" applyFont="1" applyFill="1" applyBorder="1" applyAlignment="1">
      <alignment vertical="top"/>
    </xf>
    <xf numFmtId="3" fontId="31" fillId="7" borderId="0" xfId="0" applyNumberFormat="1" applyFont="1" applyFill="1" applyAlignment="1">
      <alignment vertical="top"/>
    </xf>
    <xf numFmtId="3" fontId="26" fillId="7" borderId="71" xfId="0" applyNumberFormat="1" applyFont="1" applyFill="1" applyBorder="1" applyAlignment="1">
      <alignment vertical="top"/>
    </xf>
    <xf numFmtId="0" fontId="26" fillId="7" borderId="75" xfId="0" applyFont="1" applyFill="1" applyBorder="1" applyAlignment="1">
      <alignment vertical="top"/>
    </xf>
    <xf numFmtId="3" fontId="27" fillId="7" borderId="70" xfId="0" applyNumberFormat="1" applyFont="1" applyFill="1" applyBorder="1" applyAlignment="1">
      <alignment vertical="top"/>
    </xf>
    <xf numFmtId="0" fontId="26" fillId="7" borderId="81" xfId="0" applyFont="1" applyFill="1" applyBorder="1" applyAlignment="1">
      <alignment vertical="top"/>
    </xf>
    <xf numFmtId="0" fontId="0" fillId="0" borderId="82" xfId="0" applyBorder="1" applyAlignment="1">
      <alignment vertical="top"/>
    </xf>
    <xf numFmtId="0" fontId="41" fillId="0" borderId="0" xfId="0" applyFont="1" applyAlignment="1">
      <alignment horizontal="left" vertical="top" wrapText="1"/>
    </xf>
    <xf numFmtId="0" fontId="0" fillId="0" borderId="11" xfId="0" applyBorder="1" applyAlignment="1">
      <alignment vertical="top"/>
    </xf>
    <xf numFmtId="3" fontId="31" fillId="7" borderId="79" xfId="0" applyNumberFormat="1" applyFont="1" applyFill="1" applyBorder="1" applyAlignment="1">
      <alignment vertical="top"/>
    </xf>
    <xf numFmtId="3" fontId="29" fillId="7" borderId="79" xfId="0" applyNumberFormat="1" applyFont="1" applyFill="1" applyBorder="1" applyAlignment="1">
      <alignment vertical="top"/>
    </xf>
    <xf numFmtId="3" fontId="29" fillId="7" borderId="70" xfId="0" applyNumberFormat="1" applyFont="1" applyFill="1" applyBorder="1" applyAlignment="1">
      <alignment vertical="top"/>
    </xf>
    <xf numFmtId="0" fontId="31" fillId="7" borderId="8" xfId="0" applyFont="1" applyFill="1" applyBorder="1" applyAlignment="1">
      <alignment vertical="top"/>
    </xf>
    <xf numFmtId="3" fontId="29" fillId="7" borderId="8" xfId="0" applyNumberFormat="1" applyFont="1" applyFill="1" applyBorder="1" applyAlignment="1">
      <alignment vertical="top"/>
    </xf>
    <xf numFmtId="0" fontId="29" fillId="7" borderId="8" xfId="0" applyFont="1" applyFill="1" applyBorder="1" applyAlignment="1">
      <alignment vertical="top"/>
    </xf>
    <xf numFmtId="0" fontId="31" fillId="7" borderId="10" xfId="0" applyFont="1" applyFill="1" applyBorder="1" applyAlignment="1">
      <alignment vertical="top"/>
    </xf>
    <xf numFmtId="0" fontId="31" fillId="3" borderId="0" xfId="0" applyFont="1" applyFill="1" applyAlignment="1">
      <alignment vertical="top"/>
    </xf>
    <xf numFmtId="0" fontId="0" fillId="3" borderId="43" xfId="0" applyFill="1" applyBorder="1" applyAlignment="1">
      <alignment vertical="top"/>
    </xf>
    <xf numFmtId="3" fontId="29" fillId="7" borderId="44" xfId="0" applyNumberFormat="1" applyFont="1" applyFill="1" applyBorder="1" applyAlignment="1">
      <alignment vertical="top"/>
    </xf>
    <xf numFmtId="0" fontId="31" fillId="7" borderId="44" xfId="0" applyFont="1" applyFill="1" applyBorder="1" applyAlignment="1">
      <alignment vertical="top"/>
    </xf>
    <xf numFmtId="0" fontId="29" fillId="7" borderId="44" xfId="0" applyFont="1" applyFill="1" applyBorder="1" applyAlignment="1">
      <alignment vertical="top"/>
    </xf>
    <xf numFmtId="3" fontId="29" fillId="7" borderId="45" xfId="0" applyNumberFormat="1" applyFont="1" applyFill="1" applyBorder="1" applyAlignment="1">
      <alignment vertical="top"/>
    </xf>
    <xf numFmtId="3" fontId="29" fillId="7" borderId="41" xfId="0" applyNumberFormat="1" applyFont="1" applyFill="1" applyBorder="1" applyAlignment="1">
      <alignment vertical="top"/>
    </xf>
    <xf numFmtId="0" fontId="0" fillId="3" borderId="79" xfId="0" applyFill="1" applyBorder="1" applyAlignment="1">
      <alignment vertical="top"/>
    </xf>
    <xf numFmtId="0" fontId="0" fillId="3" borderId="2" xfId="0" applyFill="1" applyBorder="1" applyAlignment="1">
      <alignment vertical="top"/>
    </xf>
    <xf numFmtId="0" fontId="29" fillId="10" borderId="28" xfId="0" applyFont="1" applyFill="1" applyBorder="1" applyAlignment="1">
      <alignment horizontal="center" vertical="top"/>
    </xf>
    <xf numFmtId="0" fontId="31" fillId="10" borderId="27" xfId="0" applyFont="1" applyFill="1" applyBorder="1" applyAlignment="1">
      <alignment horizontal="center" vertical="top"/>
    </xf>
    <xf numFmtId="0" fontId="31"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28" fillId="3" borderId="43" xfId="0" applyFont="1" applyFill="1" applyBorder="1" applyAlignment="1">
      <alignment horizontal="left" vertical="top"/>
    </xf>
    <xf numFmtId="0" fontId="0" fillId="3" borderId="54" xfId="0" applyFill="1" applyBorder="1" applyAlignment="1">
      <alignment vertical="top"/>
    </xf>
    <xf numFmtId="0" fontId="0" fillId="3" borderId="59" xfId="0" applyFill="1" applyBorder="1" applyAlignment="1">
      <alignment vertical="top"/>
    </xf>
    <xf numFmtId="0" fontId="0" fillId="3" borderId="56" xfId="0" applyFill="1" applyBorder="1" applyAlignment="1">
      <alignment vertical="top"/>
    </xf>
    <xf numFmtId="0" fontId="31" fillId="3" borderId="56" xfId="0" applyFont="1" applyFill="1" applyBorder="1" applyAlignment="1">
      <alignment vertical="top"/>
    </xf>
    <xf numFmtId="0" fontId="0" fillId="0" borderId="45" xfId="0" applyBorder="1" applyAlignment="1">
      <alignment vertical="top"/>
    </xf>
    <xf numFmtId="3" fontId="31" fillId="7" borderId="87" xfId="0" applyNumberFormat="1" applyFont="1" applyFill="1" applyBorder="1" applyAlignment="1">
      <alignment vertical="top"/>
    </xf>
    <xf numFmtId="0" fontId="31" fillId="7" borderId="81" xfId="0" applyFont="1" applyFill="1" applyBorder="1" applyAlignment="1">
      <alignment vertical="top"/>
    </xf>
    <xf numFmtId="0" fontId="29" fillId="7" borderId="81" xfId="0" applyFont="1" applyFill="1" applyBorder="1" applyAlignment="1">
      <alignment vertical="top"/>
    </xf>
    <xf numFmtId="0" fontId="0" fillId="0" borderId="19" xfId="0" applyBorder="1" applyAlignment="1">
      <alignment vertical="top"/>
    </xf>
    <xf numFmtId="0" fontId="0" fillId="0" borderId="80" xfId="0" applyBorder="1" applyAlignment="1">
      <alignment vertical="top"/>
    </xf>
    <xf numFmtId="0" fontId="26" fillId="7" borderId="82" xfId="0" applyFont="1" applyFill="1" applyBorder="1" applyAlignment="1">
      <alignment vertical="top"/>
    </xf>
    <xf numFmtId="3" fontId="29" fillId="7" borderId="88" xfId="0" applyNumberFormat="1" applyFont="1" applyFill="1" applyBorder="1" applyAlignment="1">
      <alignment vertical="top"/>
    </xf>
    <xf numFmtId="0" fontId="29" fillId="7" borderId="78" xfId="0" applyFont="1" applyFill="1" applyBorder="1" applyAlignment="1">
      <alignment vertical="top"/>
    </xf>
    <xf numFmtId="3" fontId="27" fillId="7" borderId="0" xfId="0" applyNumberFormat="1" applyFont="1" applyFill="1" applyAlignment="1">
      <alignment vertical="top"/>
    </xf>
    <xf numFmtId="3" fontId="27" fillId="7" borderId="88" xfId="0" applyNumberFormat="1" applyFont="1" applyFill="1" applyBorder="1" applyAlignment="1">
      <alignment vertical="top"/>
    </xf>
    <xf numFmtId="0" fontId="26" fillId="7" borderId="90" xfId="0" applyFont="1" applyFill="1" applyBorder="1" applyAlignment="1">
      <alignment vertical="top"/>
    </xf>
    <xf numFmtId="0" fontId="27" fillId="7" borderId="81" xfId="0" applyFont="1" applyFill="1" applyBorder="1" applyAlignment="1">
      <alignment vertical="top"/>
    </xf>
    <xf numFmtId="0" fontId="27" fillId="7" borderId="90" xfId="0" applyFont="1" applyFill="1" applyBorder="1" applyAlignment="1">
      <alignment vertical="top"/>
    </xf>
    <xf numFmtId="0" fontId="41" fillId="0" borderId="3" xfId="0" applyFont="1" applyBorder="1" applyAlignment="1">
      <alignment horizontal="left" vertical="top" wrapText="1"/>
    </xf>
    <xf numFmtId="0" fontId="42" fillId="0" borderId="3" xfId="0" applyFont="1" applyBorder="1" applyAlignment="1">
      <alignment horizontal="right" vertical="top" wrapText="1"/>
    </xf>
    <xf numFmtId="3" fontId="27" fillId="7" borderId="79" xfId="0" applyNumberFormat="1" applyFont="1" applyFill="1" applyBorder="1" applyAlignment="1">
      <alignment vertical="top"/>
    </xf>
    <xf numFmtId="0" fontId="0" fillId="3" borderId="45" xfId="0" applyFill="1" applyBorder="1" applyAlignment="1">
      <alignment vertical="top"/>
    </xf>
    <xf numFmtId="0" fontId="0" fillId="3" borderId="89" xfId="0" applyFill="1" applyBorder="1" applyAlignment="1">
      <alignment vertical="top"/>
    </xf>
    <xf numFmtId="0" fontId="26" fillId="10" borderId="78" xfId="0" applyFont="1" applyFill="1" applyBorder="1" applyAlignment="1">
      <alignment vertical="top"/>
    </xf>
    <xf numFmtId="0" fontId="0" fillId="3" borderId="11" xfId="0" applyFill="1" applyBorder="1" applyAlignment="1">
      <alignment vertical="top"/>
    </xf>
    <xf numFmtId="0" fontId="27" fillId="7" borderId="0" xfId="0" applyFont="1" applyFill="1" applyAlignment="1">
      <alignment vertical="top"/>
    </xf>
    <xf numFmtId="0" fontId="26" fillId="7" borderId="30" xfId="0" applyFont="1" applyFill="1" applyBorder="1" applyAlignment="1">
      <alignment vertical="top"/>
    </xf>
    <xf numFmtId="0" fontId="0" fillId="3" borderId="43" xfId="0" applyFill="1" applyBorder="1" applyAlignment="1">
      <alignment vertical="top" wrapText="1"/>
    </xf>
    <xf numFmtId="0" fontId="0" fillId="3" borderId="28" xfId="0" applyFill="1" applyBorder="1" applyAlignment="1">
      <alignment vertical="top"/>
    </xf>
    <xf numFmtId="0" fontId="2" fillId="0" borderId="0" xfId="0" applyFont="1" applyAlignment="1">
      <alignment vertical="top"/>
    </xf>
    <xf numFmtId="0" fontId="29" fillId="6" borderId="84" xfId="0" applyFont="1" applyFill="1" applyBorder="1" applyAlignment="1">
      <alignment horizontal="center" vertical="top" wrapText="1"/>
    </xf>
    <xf numFmtId="0" fontId="43" fillId="3" borderId="54" xfId="0" applyFont="1" applyFill="1" applyBorder="1" applyAlignment="1">
      <alignment vertical="top"/>
    </xf>
    <xf numFmtId="0" fontId="43" fillId="3" borderId="57" xfId="0" applyFont="1" applyFill="1" applyBorder="1" applyAlignment="1">
      <alignment vertical="top"/>
    </xf>
    <xf numFmtId="0" fontId="43" fillId="3" borderId="0" xfId="0" applyFont="1" applyFill="1" applyAlignment="1">
      <alignment vertical="top"/>
    </xf>
    <xf numFmtId="0" fontId="43" fillId="3" borderId="56" xfId="0" applyFont="1" applyFill="1" applyBorder="1" applyAlignment="1">
      <alignment vertical="top"/>
    </xf>
    <xf numFmtId="0" fontId="43" fillId="3" borderId="27" xfId="0" applyFont="1" applyFill="1" applyBorder="1" applyAlignment="1">
      <alignment vertical="top"/>
    </xf>
    <xf numFmtId="0" fontId="0" fillId="3" borderId="20" xfId="0" applyFill="1" applyBorder="1" applyAlignment="1">
      <alignment vertical="top"/>
    </xf>
    <xf numFmtId="0" fontId="0" fillId="3" borderId="55" xfId="0" applyFill="1" applyBorder="1" applyAlignment="1">
      <alignment vertical="top"/>
    </xf>
    <xf numFmtId="3" fontId="44" fillId="0" borderId="3" xfId="0" applyNumberFormat="1" applyFont="1" applyBorder="1" applyAlignment="1">
      <alignment vertical="top"/>
    </xf>
    <xf numFmtId="0" fontId="44"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5" fillId="0" borderId="42" xfId="0" applyNumberFormat="1" applyFont="1" applyBorder="1" applyAlignment="1">
      <alignment vertical="top"/>
    </xf>
    <xf numFmtId="3" fontId="45" fillId="0" borderId="17" xfId="0" applyNumberFormat="1" applyFont="1" applyBorder="1" applyAlignment="1">
      <alignment vertical="top"/>
    </xf>
    <xf numFmtId="3" fontId="45" fillId="0" borderId="15" xfId="0" applyNumberFormat="1" applyFont="1" applyBorder="1" applyAlignment="1">
      <alignment vertical="top"/>
    </xf>
    <xf numFmtId="3" fontId="45" fillId="0" borderId="35" xfId="0" applyNumberFormat="1" applyFont="1" applyBorder="1" applyAlignment="1">
      <alignment vertical="top"/>
    </xf>
    <xf numFmtId="0" fontId="40" fillId="9" borderId="3" xfId="0" applyFont="1" applyFill="1" applyBorder="1" applyAlignment="1">
      <alignment horizontal="center" vertical="top" wrapText="1"/>
    </xf>
    <xf numFmtId="0" fontId="38" fillId="9" borderId="3" xfId="0" applyFont="1" applyFill="1" applyBorder="1" applyAlignment="1">
      <alignment horizontal="left" vertical="top" wrapText="1"/>
    </xf>
    <xf numFmtId="3" fontId="40" fillId="9" borderId="3" xfId="0" applyNumberFormat="1" applyFont="1" applyFill="1" applyBorder="1" applyAlignment="1">
      <alignment horizontal="right" vertical="top" wrapText="1"/>
    </xf>
    <xf numFmtId="9" fontId="40" fillId="9" borderId="3" xfId="0" applyNumberFormat="1" applyFont="1" applyFill="1" applyBorder="1" applyAlignment="1">
      <alignment horizontal="right" vertical="top" wrapText="1"/>
    </xf>
    <xf numFmtId="3" fontId="41" fillId="0" borderId="3" xfId="0" applyNumberFormat="1" applyFont="1" applyBorder="1" applyAlignment="1">
      <alignment horizontal="right" vertical="top" wrapText="1"/>
    </xf>
    <xf numFmtId="9" fontId="41" fillId="0" borderId="3" xfId="0" applyNumberFormat="1" applyFont="1" applyBorder="1" applyAlignment="1">
      <alignment horizontal="right" vertical="top" wrapText="1"/>
    </xf>
    <xf numFmtId="0" fontId="40" fillId="9" borderId="3" xfId="0" applyFont="1" applyFill="1" applyBorder="1" applyAlignment="1">
      <alignment horizontal="left" vertical="top" wrapText="1"/>
    </xf>
    <xf numFmtId="0" fontId="40" fillId="0" borderId="3" xfId="0" applyFont="1" applyBorder="1" applyAlignment="1">
      <alignment horizontal="left" vertical="top" wrapText="1"/>
    </xf>
    <xf numFmtId="3" fontId="40" fillId="0" borderId="3" xfId="0" applyNumberFormat="1" applyFont="1" applyBorder="1" applyAlignment="1">
      <alignment horizontal="right" vertical="top" wrapText="1"/>
    </xf>
    <xf numFmtId="3" fontId="41" fillId="0" borderId="0" xfId="0" applyNumberFormat="1" applyFont="1" applyAlignment="1">
      <alignment horizontal="right" vertical="top" wrapText="1"/>
    </xf>
    <xf numFmtId="3" fontId="41" fillId="0" borderId="0" xfId="0" applyNumberFormat="1" applyFont="1" applyAlignment="1">
      <alignment horizontal="left" vertical="top" wrapText="1"/>
    </xf>
    <xf numFmtId="3" fontId="40" fillId="9" borderId="1" xfId="0" applyNumberFormat="1" applyFont="1" applyFill="1" applyBorder="1" applyAlignment="1">
      <alignment horizontal="center" vertical="top" wrapText="1"/>
    </xf>
    <xf numFmtId="0" fontId="40" fillId="9" borderId="1" xfId="0" applyFont="1" applyFill="1" applyBorder="1" applyAlignment="1">
      <alignment horizontal="center" vertical="top" wrapText="1"/>
    </xf>
    <xf numFmtId="0" fontId="3" fillId="0" borderId="0" xfId="0" applyFont="1" applyAlignment="1">
      <alignment vertical="top"/>
    </xf>
    <xf numFmtId="4" fontId="41"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1" fillId="0" borderId="3" xfId="0" applyNumberFormat="1" applyFont="1" applyBorder="1" applyAlignment="1">
      <alignment vertical="top"/>
    </xf>
    <xf numFmtId="3" fontId="20" fillId="0" borderId="3" xfId="0" applyNumberFormat="1" applyFont="1" applyBorder="1" applyAlignment="1">
      <alignment vertical="top"/>
    </xf>
    <xf numFmtId="0" fontId="0" fillId="3" borderId="11" xfId="0" applyFill="1" applyBorder="1" applyAlignment="1">
      <alignment horizontal="center" vertical="top" wrapText="1"/>
    </xf>
    <xf numFmtId="0" fontId="11" fillId="0" borderId="0" xfId="0" applyFont="1" applyAlignment="1">
      <alignment vertical="top"/>
    </xf>
    <xf numFmtId="0" fontId="18" fillId="0" borderId="0" xfId="0" applyFont="1" applyAlignment="1">
      <alignment vertical="top"/>
    </xf>
    <xf numFmtId="3" fontId="19" fillId="0" borderId="32" xfId="0" applyNumberFormat="1" applyFont="1" applyBorder="1" applyAlignment="1">
      <alignment vertical="top"/>
    </xf>
    <xf numFmtId="3" fontId="19" fillId="0" borderId="76" xfId="0" applyNumberFormat="1" applyFont="1" applyBorder="1" applyAlignment="1">
      <alignment vertical="top"/>
    </xf>
    <xf numFmtId="3" fontId="19" fillId="0" borderId="57" xfId="0" applyNumberFormat="1" applyFont="1" applyBorder="1" applyAlignment="1">
      <alignment vertical="top"/>
    </xf>
    <xf numFmtId="3" fontId="19" fillId="0" borderId="42" xfId="0" applyNumberFormat="1"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7" xfId="0" applyNumberFormat="1" applyFont="1" applyBorder="1" applyAlignment="1">
      <alignment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5" fillId="11" borderId="1" xfId="0" applyFont="1" applyFill="1" applyBorder="1" applyAlignment="1" applyProtection="1">
      <alignment horizontal="left" vertical="top" wrapText="1"/>
      <protection locked="0"/>
    </xf>
    <xf numFmtId="0" fontId="18" fillId="11" borderId="1" xfId="0" applyFont="1" applyFill="1" applyBorder="1" applyAlignment="1" applyProtection="1">
      <alignment horizontal="left" vertical="top" wrapText="1"/>
      <protection locked="0"/>
    </xf>
    <xf numFmtId="0" fontId="18" fillId="11" borderId="3"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0" fontId="15" fillId="11" borderId="46" xfId="0" applyFont="1" applyFill="1" applyBorder="1" applyAlignment="1" applyProtection="1">
      <alignment horizontal="left" vertical="top" wrapText="1"/>
      <protection locked="0"/>
    </xf>
    <xf numFmtId="0" fontId="18" fillId="11" borderId="46" xfId="0" applyFont="1" applyFill="1" applyBorder="1" applyAlignment="1" applyProtection="1">
      <alignment horizontal="left" vertical="top" wrapText="1"/>
      <protection locked="0"/>
    </xf>
    <xf numFmtId="0" fontId="15" fillId="11" borderId="21" xfId="0" applyFont="1" applyFill="1" applyBorder="1" applyAlignment="1" applyProtection="1">
      <alignment horizontal="left" vertical="top" wrapText="1"/>
      <protection locked="0"/>
    </xf>
    <xf numFmtId="0" fontId="18" fillId="11" borderId="40" xfId="0" applyFont="1" applyFill="1" applyBorder="1" applyAlignment="1" applyProtection="1">
      <alignment vertical="top" wrapText="1"/>
      <protection locked="0"/>
    </xf>
    <xf numFmtId="0" fontId="18" fillId="11" borderId="39"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0" fontId="18" fillId="11" borderId="3" xfId="0" applyFont="1" applyFill="1" applyBorder="1" applyAlignment="1" applyProtection="1">
      <alignment vertical="top" wrapText="1"/>
      <protection locked="0"/>
    </xf>
    <xf numFmtId="0" fontId="18" fillId="11" borderId="3" xfId="0" applyFont="1" applyFill="1" applyBorder="1" applyAlignment="1" applyProtection="1">
      <alignment vertical="top"/>
      <protection locked="0"/>
    </xf>
    <xf numFmtId="0" fontId="18" fillId="11" borderId="26" xfId="0" applyFont="1" applyFill="1" applyBorder="1" applyAlignment="1" applyProtection="1">
      <alignment vertical="top" wrapText="1"/>
      <protection locked="0"/>
    </xf>
    <xf numFmtId="0" fontId="18" fillId="11" borderId="47" xfId="0" applyFont="1" applyFill="1" applyBorder="1" applyAlignment="1" applyProtection="1">
      <alignment vertical="top" wrapText="1"/>
      <protection locked="0"/>
    </xf>
    <xf numFmtId="0" fontId="18" fillId="11" borderId="50"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19" fillId="12" borderId="31" xfId="0" applyNumberFormat="1" applyFont="1" applyFill="1" applyBorder="1" applyAlignment="1">
      <alignment vertical="top"/>
    </xf>
    <xf numFmtId="3" fontId="45" fillId="12" borderId="1" xfId="0" applyNumberFormat="1" applyFont="1" applyFill="1" applyBorder="1" applyAlignment="1">
      <alignment vertical="top"/>
    </xf>
    <xf numFmtId="3" fontId="45" fillId="12" borderId="22" xfId="0" applyNumberFormat="1" applyFont="1" applyFill="1" applyBorder="1" applyAlignment="1">
      <alignment vertical="top"/>
    </xf>
    <xf numFmtId="3" fontId="45" fillId="12" borderId="2" xfId="0" applyNumberFormat="1" applyFont="1" applyFill="1" applyBorder="1" applyAlignment="1">
      <alignment vertical="top"/>
    </xf>
    <xf numFmtId="3" fontId="45" fillId="12" borderId="39" xfId="0" applyNumberFormat="1" applyFont="1" applyFill="1" applyBorder="1" applyAlignment="1">
      <alignment vertical="top"/>
    </xf>
    <xf numFmtId="3" fontId="45" fillId="12" borderId="14" xfId="0" applyNumberFormat="1" applyFont="1" applyFill="1" applyBorder="1" applyAlignment="1">
      <alignment vertical="top"/>
    </xf>
    <xf numFmtId="0" fontId="18" fillId="12" borderId="39" xfId="0" applyFont="1" applyFill="1" applyBorder="1" applyAlignment="1">
      <alignment vertical="top"/>
    </xf>
    <xf numFmtId="0" fontId="18" fillId="12" borderId="40" xfId="0" applyFont="1" applyFill="1" applyBorder="1" applyAlignment="1">
      <alignment vertical="top" wrapText="1"/>
    </xf>
    <xf numFmtId="3" fontId="19" fillId="12" borderId="5" xfId="0" applyNumberFormat="1" applyFont="1" applyFill="1" applyBorder="1" applyAlignment="1">
      <alignment vertical="top"/>
    </xf>
    <xf numFmtId="3" fontId="19" fillId="12" borderId="4" xfId="0" applyNumberFormat="1" applyFont="1" applyFill="1" applyBorder="1" applyAlignment="1">
      <alignment vertical="top"/>
    </xf>
    <xf numFmtId="3" fontId="19" fillId="12" borderId="53" xfId="0" applyNumberFormat="1" applyFont="1" applyFill="1" applyBorder="1" applyAlignment="1">
      <alignment vertical="top"/>
    </xf>
    <xf numFmtId="3" fontId="19" fillId="12" borderId="1" xfId="0" applyNumberFormat="1" applyFont="1" applyFill="1" applyBorder="1" applyAlignment="1">
      <alignment vertical="top"/>
    </xf>
    <xf numFmtId="3" fontId="19" fillId="12" borderId="3" xfId="0" applyNumberFormat="1" applyFont="1" applyFill="1" applyBorder="1" applyAlignment="1">
      <alignment vertical="top"/>
    </xf>
    <xf numFmtId="3" fontId="19"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5" fillId="12" borderId="1"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2" borderId="39" xfId="0" applyFont="1" applyFill="1" applyBorder="1" applyAlignment="1">
      <alignment vertical="top" wrapText="1"/>
    </xf>
    <xf numFmtId="0" fontId="18"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45" fillId="12" borderId="20" xfId="0" applyNumberFormat="1" applyFont="1" applyFill="1" applyBorder="1" applyAlignment="1">
      <alignment vertical="top"/>
    </xf>
    <xf numFmtId="3" fontId="45" fillId="12" borderId="11" xfId="0" applyNumberFormat="1" applyFont="1" applyFill="1" applyBorder="1" applyAlignment="1">
      <alignment vertical="top"/>
    </xf>
    <xf numFmtId="3" fontId="45" fillId="12" borderId="26" xfId="0" applyNumberFormat="1" applyFont="1" applyFill="1" applyBorder="1" applyAlignment="1">
      <alignment vertical="top"/>
    </xf>
    <xf numFmtId="3" fontId="45" fillId="12" borderId="12" xfId="0" applyNumberFormat="1" applyFont="1" applyFill="1" applyBorder="1" applyAlignment="1">
      <alignment vertical="top"/>
    </xf>
    <xf numFmtId="0" fontId="18" fillId="12" borderId="26" xfId="0" applyFont="1" applyFill="1" applyBorder="1" applyAlignment="1">
      <alignment vertical="top"/>
    </xf>
    <xf numFmtId="0" fontId="2" fillId="12" borderId="39" xfId="0" applyFont="1" applyFill="1" applyBorder="1" applyAlignment="1">
      <alignment vertical="top" wrapText="1"/>
    </xf>
    <xf numFmtId="0" fontId="2" fillId="12" borderId="40" xfId="0" applyFont="1" applyFill="1" applyBorder="1" applyAlignment="1">
      <alignment vertical="top" wrapText="1"/>
    </xf>
    <xf numFmtId="0" fontId="15" fillId="12" borderId="46" xfId="0" applyFont="1" applyFill="1" applyBorder="1" applyAlignment="1">
      <alignment horizontal="left" vertical="top" wrapText="1"/>
    </xf>
    <xf numFmtId="0" fontId="18" fillId="12" borderId="46" xfId="0" applyFont="1" applyFill="1" applyBorder="1" applyAlignment="1">
      <alignment horizontal="left" vertical="top" wrapText="1"/>
    </xf>
    <xf numFmtId="0" fontId="15" fillId="12" borderId="21" xfId="0" applyFont="1" applyFill="1" applyBorder="1" applyAlignment="1">
      <alignment horizontal="left" vertical="top" wrapText="1"/>
    </xf>
    <xf numFmtId="0" fontId="18" fillId="12" borderId="50" xfId="0" applyFont="1" applyFill="1" applyBorder="1" applyAlignment="1">
      <alignment vertical="top"/>
    </xf>
    <xf numFmtId="0" fontId="18" fillId="12" borderId="47" xfId="0" applyFont="1" applyFill="1" applyBorder="1" applyAlignment="1">
      <alignment vertical="top" wrapText="1"/>
    </xf>
    <xf numFmtId="0" fontId="18" fillId="12" borderId="1" xfId="1" applyFont="1" applyFill="1" applyBorder="1" applyAlignment="1">
      <alignment horizontal="left" vertical="top" wrapText="1"/>
    </xf>
    <xf numFmtId="0" fontId="18" fillId="12" borderId="31" xfId="0" applyFont="1" applyFill="1" applyBorder="1" applyAlignment="1">
      <alignment horizontal="left" vertical="top" wrapText="1"/>
    </xf>
    <xf numFmtId="0" fontId="18" fillId="12" borderId="3" xfId="1" applyFont="1" applyFill="1" applyBorder="1" applyAlignment="1">
      <alignment horizontal="left" vertical="top" wrapText="1"/>
    </xf>
    <xf numFmtId="0" fontId="18" fillId="12" borderId="0" xfId="0" applyFont="1" applyFill="1" applyAlignment="1">
      <alignment vertical="top" wrapText="1"/>
    </xf>
    <xf numFmtId="0" fontId="18" fillId="12" borderId="21" xfId="1" applyFont="1" applyFill="1" applyBorder="1" applyAlignment="1">
      <alignment horizontal="left" vertical="top" wrapText="1"/>
    </xf>
    <xf numFmtId="3" fontId="15" fillId="0" borderId="4" xfId="0" applyNumberFormat="1" applyFont="1" applyBorder="1" applyAlignment="1">
      <alignment vertical="top"/>
    </xf>
    <xf numFmtId="3" fontId="15" fillId="0" borderId="5" xfId="0" applyNumberFormat="1" applyFont="1" applyBorder="1" applyAlignment="1">
      <alignment vertical="top"/>
    </xf>
    <xf numFmtId="3" fontId="15" fillId="0" borderId="6" xfId="0" applyNumberFormat="1" applyFont="1" applyBorder="1" applyAlignment="1">
      <alignment vertical="top"/>
    </xf>
    <xf numFmtId="3" fontId="20" fillId="0" borderId="18" xfId="0" applyNumberFormat="1" applyFont="1" applyBorder="1" applyAlignment="1">
      <alignment vertical="top"/>
    </xf>
    <xf numFmtId="3" fontId="20" fillId="0" borderId="16" xfId="0" applyNumberFormat="1" applyFont="1" applyBorder="1" applyAlignment="1">
      <alignment vertical="top"/>
    </xf>
    <xf numFmtId="3" fontId="20" fillId="0" borderId="15" xfId="0" applyNumberFormat="1" applyFont="1" applyBorder="1" applyAlignment="1">
      <alignment vertical="top"/>
    </xf>
    <xf numFmtId="0" fontId="18" fillId="11" borderId="31" xfId="0" applyFont="1" applyFill="1" applyBorder="1" applyAlignment="1" applyProtection="1">
      <alignment horizontal="left" vertical="top" wrapText="1"/>
      <protection locked="0"/>
    </xf>
    <xf numFmtId="0" fontId="17" fillId="4" borderId="41" xfId="0" applyFont="1" applyFill="1" applyBorder="1" applyAlignment="1">
      <alignment horizontal="center" vertical="top"/>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7" fillId="4" borderId="10"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19" fillId="0" borderId="18" xfId="0" applyNumberFormat="1" applyFont="1" applyBorder="1" applyAlignment="1">
      <alignment vertical="top"/>
    </xf>
    <xf numFmtId="3" fontId="19" fillId="0" borderId="16" xfId="0" applyNumberFormat="1" applyFont="1" applyBorder="1" applyAlignment="1">
      <alignment vertical="top"/>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1" fillId="0" borderId="30" xfId="0" applyFont="1" applyBorder="1" applyAlignment="1">
      <alignment vertical="top"/>
    </xf>
    <xf numFmtId="3" fontId="45" fillId="12" borderId="5" xfId="0" applyNumberFormat="1" applyFont="1" applyFill="1" applyBorder="1" applyAlignment="1">
      <alignment vertical="top"/>
    </xf>
    <xf numFmtId="3" fontId="45" fillId="0" borderId="76"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94" xfId="0" applyFont="1" applyFill="1" applyBorder="1" applyAlignment="1" applyProtection="1">
      <alignment vertical="top"/>
      <protection locked="0"/>
    </xf>
    <xf numFmtId="0" fontId="2" fillId="11" borderId="48" xfId="0" applyFont="1" applyFill="1" applyBorder="1" applyAlignment="1" applyProtection="1">
      <alignment vertical="top"/>
      <protection locked="0"/>
    </xf>
    <xf numFmtId="3" fontId="45" fillId="0" borderId="18" xfId="0" applyNumberFormat="1" applyFont="1" applyBorder="1" applyAlignment="1">
      <alignment vertical="top"/>
    </xf>
    <xf numFmtId="3" fontId="45" fillId="0" borderId="16" xfId="0" applyNumberFormat="1" applyFont="1" applyBorder="1" applyAlignment="1">
      <alignment vertical="top"/>
    </xf>
    <xf numFmtId="1" fontId="12" fillId="4" borderId="23" xfId="0" applyNumberFormat="1" applyFont="1" applyFill="1" applyBorder="1" applyAlignment="1">
      <alignment horizontal="center" vertical="top" wrapText="1"/>
    </xf>
    <xf numFmtId="0" fontId="18" fillId="12" borderId="26" xfId="0" applyFont="1" applyFill="1" applyBorder="1" applyAlignment="1">
      <alignment vertical="top" wrapText="1"/>
    </xf>
    <xf numFmtId="0" fontId="18" fillId="12" borderId="50" xfId="0" applyFont="1" applyFill="1" applyBorder="1" applyAlignment="1">
      <alignment vertical="top" wrapText="1"/>
    </xf>
    <xf numFmtId="0" fontId="18" fillId="12" borderId="47" xfId="0" applyFont="1" applyFill="1" applyBorder="1" applyAlignment="1">
      <alignment horizontal="center" vertical="top"/>
    </xf>
    <xf numFmtId="0" fontId="2" fillId="12" borderId="47" xfId="0" applyFont="1" applyFill="1" applyBorder="1" applyAlignment="1">
      <alignment vertical="top" wrapText="1"/>
    </xf>
    <xf numFmtId="0" fontId="0" fillId="0" borderId="3" xfId="0" applyBorder="1" applyAlignment="1">
      <alignment vertical="top"/>
    </xf>
    <xf numFmtId="0" fontId="0" fillId="3" borderId="3" xfId="0" applyFill="1" applyBorder="1" applyAlignment="1">
      <alignment vertical="top"/>
    </xf>
    <xf numFmtId="0" fontId="0" fillId="3" borderId="19" xfId="0" applyFill="1" applyBorder="1" applyAlignment="1">
      <alignment vertical="top"/>
    </xf>
    <xf numFmtId="0" fontId="1" fillId="3" borderId="0" xfId="0" applyFont="1" applyFill="1" applyAlignment="1">
      <alignment horizontal="left" vertical="top"/>
    </xf>
    <xf numFmtId="0" fontId="1" fillId="2" borderId="33" xfId="0" applyFont="1" applyFill="1" applyBorder="1" applyAlignment="1">
      <alignment vertical="top" wrapText="1"/>
    </xf>
    <xf numFmtId="0" fontId="0" fillId="0" borderId="36" xfId="0" applyBorder="1" applyAlignment="1">
      <alignment horizontal="left" vertical="top"/>
    </xf>
    <xf numFmtId="3" fontId="0" fillId="12" borderId="37" xfId="0" applyNumberFormat="1" applyFill="1" applyBorder="1" applyAlignment="1">
      <alignment horizontal="left" vertical="top" wrapText="1"/>
    </xf>
    <xf numFmtId="0" fontId="0" fillId="0" borderId="43" xfId="0" applyBorder="1" applyAlignment="1">
      <alignment horizontal="left" vertical="top"/>
    </xf>
    <xf numFmtId="3" fontId="45" fillId="12" borderId="69" xfId="0" applyNumberFormat="1" applyFont="1" applyFill="1" applyBorder="1" applyAlignment="1">
      <alignment vertical="top"/>
    </xf>
    <xf numFmtId="3" fontId="45" fillId="0" borderId="56" xfId="0" applyNumberFormat="1" applyFont="1" applyBorder="1" applyAlignment="1">
      <alignment vertical="top"/>
    </xf>
    <xf numFmtId="164" fontId="0" fillId="4" borderId="92" xfId="0" applyNumberFormat="1" applyFill="1" applyBorder="1" applyAlignment="1">
      <alignment horizontal="center" vertical="top" wrapText="1"/>
    </xf>
    <xf numFmtId="164" fontId="0" fillId="4" borderId="93" xfId="0" applyNumberFormat="1" applyFill="1" applyBorder="1" applyAlignment="1">
      <alignment horizontal="center" vertical="top" wrapText="1"/>
    </xf>
    <xf numFmtId="164" fontId="0" fillId="4" borderId="91" xfId="0" applyNumberFormat="1" applyFill="1" applyBorder="1" applyAlignment="1">
      <alignment horizontal="center" vertical="top" wrapText="1"/>
    </xf>
    <xf numFmtId="164" fontId="0" fillId="4" borderId="81" xfId="0" applyNumberFormat="1" applyFill="1" applyBorder="1" applyAlignment="1">
      <alignment horizontal="center" vertical="top" wrapText="1"/>
    </xf>
    <xf numFmtId="164" fontId="0" fillId="4" borderId="70" xfId="0" applyNumberFormat="1" applyFill="1" applyBorder="1" applyAlignment="1">
      <alignment horizontal="center" vertical="top" wrapText="1"/>
    </xf>
    <xf numFmtId="3" fontId="45" fillId="12" borderId="3" xfId="0" applyNumberFormat="1" applyFont="1" applyFill="1" applyBorder="1" applyAlignment="1">
      <alignment vertical="top"/>
    </xf>
    <xf numFmtId="3" fontId="45" fillId="12" borderId="13" xfId="0" applyNumberFormat="1" applyFont="1" applyFill="1" applyBorder="1" applyAlignment="1">
      <alignment vertical="top"/>
    </xf>
    <xf numFmtId="0" fontId="18" fillId="11" borderId="1" xfId="1" applyFont="1" applyFill="1" applyBorder="1" applyAlignment="1" applyProtection="1">
      <alignment horizontal="left" vertical="top" wrapText="1"/>
      <protection locked="0"/>
    </xf>
    <xf numFmtId="0" fontId="18" fillId="11" borderId="21" xfId="0" applyFont="1" applyFill="1" applyBorder="1" applyAlignment="1" applyProtection="1">
      <alignment horizontal="left" vertical="top" wrapText="1"/>
      <protection locked="0"/>
    </xf>
    <xf numFmtId="0" fontId="18" fillId="12" borderId="49" xfId="0" applyFont="1" applyFill="1" applyBorder="1" applyAlignment="1">
      <alignment horizontal="left" vertical="top" wrapText="1"/>
    </xf>
    <xf numFmtId="0" fontId="18" fillId="12" borderId="21" xfId="0" applyFont="1" applyFill="1" applyBorder="1" applyAlignment="1">
      <alignment horizontal="left" vertical="top" wrapText="1"/>
    </xf>
    <xf numFmtId="0" fontId="46" fillId="13" borderId="31" xfId="0" applyFont="1" applyFill="1" applyBorder="1" applyAlignment="1" applyProtection="1">
      <alignment horizontal="left" vertical="top" wrapText="1"/>
      <protection locked="0"/>
    </xf>
    <xf numFmtId="0" fontId="15" fillId="13" borderId="1" xfId="0" applyFont="1" applyFill="1" applyBorder="1" applyAlignment="1" applyProtection="1">
      <alignment horizontal="left" vertical="top" wrapText="1"/>
      <protection locked="0"/>
    </xf>
    <xf numFmtId="0" fontId="18" fillId="13" borderId="1" xfId="0" applyFont="1" applyFill="1" applyBorder="1" applyAlignment="1" applyProtection="1">
      <alignment horizontal="left" vertical="top" wrapText="1"/>
      <protection locked="0"/>
    </xf>
    <xf numFmtId="0" fontId="18" fillId="13" borderId="3" xfId="0" applyFont="1" applyFill="1" applyBorder="1" applyAlignment="1" applyProtection="1">
      <alignment horizontal="left" vertical="top" wrapText="1"/>
      <protection locked="0"/>
    </xf>
    <xf numFmtId="3" fontId="16" fillId="13" borderId="14" xfId="0" applyNumberFormat="1" applyFont="1" applyFill="1" applyBorder="1" applyAlignment="1">
      <alignment vertical="top"/>
    </xf>
    <xf numFmtId="3" fontId="19" fillId="13" borderId="31" xfId="0" applyNumberFormat="1" applyFont="1" applyFill="1" applyBorder="1" applyAlignment="1">
      <alignment vertical="top"/>
    </xf>
    <xf numFmtId="3" fontId="19" fillId="13" borderId="1" xfId="0" applyNumberFormat="1" applyFont="1" applyFill="1" applyBorder="1" applyAlignment="1">
      <alignment vertical="top"/>
    </xf>
    <xf numFmtId="3" fontId="19" fillId="13" borderId="3" xfId="0" applyNumberFormat="1" applyFont="1" applyFill="1" applyBorder="1" applyAlignment="1">
      <alignment vertical="top"/>
    </xf>
    <xf numFmtId="3" fontId="19" fillId="13" borderId="38" xfId="0" applyNumberFormat="1" applyFont="1" applyFill="1" applyBorder="1" applyAlignment="1">
      <alignment vertical="top"/>
    </xf>
    <xf numFmtId="0" fontId="18" fillId="13" borderId="40" xfId="0" applyFont="1" applyFill="1" applyBorder="1" applyAlignment="1" applyProtection="1">
      <alignment vertical="top" wrapText="1"/>
      <protection locked="0"/>
    </xf>
    <xf numFmtId="0" fontId="18" fillId="13" borderId="26" xfId="0" applyFont="1" applyFill="1" applyBorder="1" applyAlignment="1" applyProtection="1">
      <alignment vertical="top" wrapText="1"/>
      <protection locked="0"/>
    </xf>
    <xf numFmtId="0" fontId="2" fillId="13" borderId="3" xfId="0" applyFont="1" applyFill="1" applyBorder="1" applyAlignment="1" applyProtection="1">
      <alignment vertical="top"/>
      <protection locked="0"/>
    </xf>
    <xf numFmtId="0" fontId="18" fillId="11" borderId="39" xfId="0" applyFont="1" applyFill="1" applyBorder="1" applyAlignment="1" applyProtection="1">
      <alignment vertical="top"/>
      <protection locked="0"/>
    </xf>
    <xf numFmtId="0" fontId="18" fillId="11" borderId="12" xfId="0" applyFont="1" applyFill="1" applyBorder="1" applyAlignment="1" applyProtection="1">
      <alignment vertical="top"/>
      <protection locked="0"/>
    </xf>
    <xf numFmtId="0" fontId="18" fillId="13" borderId="39" xfId="0" applyFont="1" applyFill="1" applyBorder="1" applyAlignment="1" applyProtection="1">
      <alignment vertical="top"/>
      <protection locked="0"/>
    </xf>
    <xf numFmtId="0" fontId="2" fillId="13" borderId="12" xfId="0" applyFont="1" applyFill="1" applyBorder="1" applyAlignment="1" applyProtection="1">
      <alignment vertical="top"/>
      <protection locked="0"/>
    </xf>
    <xf numFmtId="0" fontId="18" fillId="11" borderId="26" xfId="0" applyFont="1" applyFill="1" applyBorder="1" applyAlignment="1" applyProtection="1">
      <alignment vertical="top"/>
      <protection locked="0"/>
    </xf>
    <xf numFmtId="0" fontId="18" fillId="11" borderId="50" xfId="0" applyFont="1" applyFill="1" applyBorder="1" applyAlignment="1" applyProtection="1">
      <alignment vertical="top"/>
      <protection locked="0"/>
    </xf>
    <xf numFmtId="0" fontId="2" fillId="0" borderId="16" xfId="0" applyFont="1" applyBorder="1" applyAlignment="1">
      <alignment vertical="top"/>
    </xf>
    <xf numFmtId="0" fontId="2" fillId="0" borderId="15" xfId="0" applyFont="1" applyBorder="1" applyAlignment="1">
      <alignment vertical="top"/>
    </xf>
    <xf numFmtId="0" fontId="11" fillId="4" borderId="8" xfId="0" applyFont="1" applyFill="1" applyBorder="1" applyAlignment="1">
      <alignment horizontal="center" vertical="top" wrapText="1"/>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48" fillId="0" borderId="0" xfId="0" applyFont="1" applyAlignment="1">
      <alignment vertical="top"/>
    </xf>
    <xf numFmtId="0" fontId="46" fillId="0" borderId="0" xfId="0" applyFont="1" applyAlignment="1">
      <alignment vertical="top"/>
    </xf>
    <xf numFmtId="0" fontId="14" fillId="0" borderId="0" xfId="0" applyFont="1"/>
    <xf numFmtId="0" fontId="1" fillId="4" borderId="3" xfId="0" applyFont="1" applyFill="1" applyBorder="1" applyAlignment="1">
      <alignment horizontal="center" vertical="top" wrapText="1"/>
    </xf>
    <xf numFmtId="0" fontId="1" fillId="0" borderId="0" xfId="0" applyFont="1" applyAlignment="1">
      <alignment vertical="top" wrapText="1"/>
    </xf>
    <xf numFmtId="0" fontId="46" fillId="4" borderId="3" xfId="0" applyFont="1" applyFill="1" applyBorder="1" applyAlignment="1">
      <alignment horizontal="center" vertical="top" wrapText="1"/>
    </xf>
    <xf numFmtId="0" fontId="0" fillId="0" borderId="0" xfId="0" applyAlignment="1">
      <alignment horizontal="right" vertical="top"/>
    </xf>
    <xf numFmtId="0" fontId="0" fillId="0" borderId="0" xfId="0" applyAlignment="1">
      <alignment horizontal="right"/>
    </xf>
    <xf numFmtId="0" fontId="2" fillId="0" borderId="0" xfId="0" applyFont="1" applyAlignment="1">
      <alignment vertical="center"/>
    </xf>
    <xf numFmtId="0" fontId="1" fillId="0" borderId="0" xfId="0" applyFont="1"/>
    <xf numFmtId="0" fontId="1" fillId="2" borderId="95" xfId="0" applyFont="1" applyFill="1" applyBorder="1" applyAlignment="1">
      <alignment vertical="top" wrapText="1"/>
    </xf>
    <xf numFmtId="0" fontId="1" fillId="3" borderId="98" xfId="0" applyFont="1" applyFill="1" applyBorder="1" applyAlignment="1">
      <alignment vertical="top" wrapText="1"/>
    </xf>
    <xf numFmtId="0" fontId="0" fillId="3" borderId="99" xfId="0" applyFill="1" applyBorder="1" applyAlignment="1">
      <alignment horizontal="center" vertical="top" wrapText="1"/>
    </xf>
    <xf numFmtId="0" fontId="1" fillId="3" borderId="100" xfId="0" applyFont="1" applyFill="1" applyBorder="1" applyAlignment="1">
      <alignment vertical="top" wrapText="1"/>
    </xf>
    <xf numFmtId="3" fontId="2" fillId="12" borderId="101" xfId="0" applyNumberFormat="1" applyFont="1" applyFill="1" applyBorder="1" applyAlignment="1">
      <alignment horizontal="right" vertical="top" wrapText="1"/>
    </xf>
    <xf numFmtId="3" fontId="0" fillId="12" borderId="101" xfId="0" applyNumberFormat="1" applyFill="1" applyBorder="1" applyAlignment="1">
      <alignment horizontal="right" vertical="top" wrapText="1"/>
    </xf>
    <xf numFmtId="0" fontId="3" fillId="0" borderId="53" xfId="0" applyFont="1" applyBorder="1" applyAlignment="1">
      <alignment horizontal="left" vertical="top"/>
    </xf>
    <xf numFmtId="0" fontId="0" fillId="0" borderId="55" xfId="0" applyBorder="1" applyAlignment="1">
      <alignment horizontal="left" vertical="top"/>
    </xf>
    <xf numFmtId="3" fontId="0" fillId="12" borderId="103" xfId="0" applyNumberFormat="1" applyFill="1" applyBorder="1" applyAlignment="1">
      <alignment horizontal="left" vertical="top" wrapText="1"/>
    </xf>
    <xf numFmtId="0" fontId="1" fillId="3" borderId="94" xfId="0" applyFont="1" applyFill="1" applyBorder="1" applyAlignment="1">
      <alignment vertical="top" wrapText="1"/>
    </xf>
    <xf numFmtId="3" fontId="2" fillId="12" borderId="21" xfId="0" applyNumberFormat="1" applyFont="1" applyFill="1" applyBorder="1" applyAlignment="1">
      <alignment horizontal="right" vertical="top" wrapText="1"/>
    </xf>
    <xf numFmtId="3" fontId="0" fillId="12" borderId="21" xfId="0" applyNumberFormat="1" applyFill="1" applyBorder="1" applyAlignment="1">
      <alignment horizontal="right" vertical="top" wrapText="1"/>
    </xf>
    <xf numFmtId="3" fontId="0" fillId="12" borderId="45" xfId="0" applyNumberFormat="1" applyFill="1" applyBorder="1" applyAlignment="1">
      <alignment horizontal="right" vertical="top" wrapText="1"/>
    </xf>
    <xf numFmtId="0" fontId="2" fillId="3" borderId="101" xfId="0" applyFont="1" applyFill="1" applyBorder="1" applyAlignment="1">
      <alignment horizontal="center" vertical="top" wrapText="1"/>
    </xf>
    <xf numFmtId="0" fontId="0" fillId="3" borderId="101" xfId="0" applyFill="1" applyBorder="1" applyAlignment="1">
      <alignment horizontal="center" vertical="top" wrapText="1"/>
    </xf>
    <xf numFmtId="0" fontId="0" fillId="3" borderId="102" xfId="0" applyFill="1" applyBorder="1" applyAlignment="1">
      <alignment horizontal="center" vertical="top" wrapText="1"/>
    </xf>
    <xf numFmtId="0" fontId="1" fillId="3" borderId="104" xfId="0" applyFont="1" applyFill="1" applyBorder="1" applyAlignment="1">
      <alignment vertical="top" wrapText="1"/>
    </xf>
    <xf numFmtId="3" fontId="0" fillId="12" borderId="105" xfId="0" applyNumberFormat="1" applyFill="1" applyBorder="1" applyAlignment="1">
      <alignment horizontal="right" vertical="top" wrapText="1"/>
    </xf>
    <xf numFmtId="9" fontId="0" fillId="12" borderId="102" xfId="0" applyNumberFormat="1" applyFill="1" applyBorder="1" applyAlignment="1">
      <alignment horizontal="right" vertical="top" wrapText="1"/>
    </xf>
    <xf numFmtId="0" fontId="1" fillId="3" borderId="49" xfId="0" applyFont="1" applyFill="1" applyBorder="1" applyAlignment="1">
      <alignment vertical="top" wrapText="1"/>
    </xf>
    <xf numFmtId="3" fontId="2" fillId="12" borderId="46" xfId="0" applyNumberFormat="1" applyFont="1" applyFill="1" applyBorder="1" applyAlignment="1">
      <alignment horizontal="right" vertical="top" wrapText="1"/>
    </xf>
    <xf numFmtId="3" fontId="0" fillId="12" borderId="46" xfId="0" applyNumberFormat="1" applyFill="1" applyBorder="1" applyAlignment="1">
      <alignment horizontal="right" vertical="top" wrapText="1"/>
    </xf>
    <xf numFmtId="3" fontId="0" fillId="12" borderId="79" xfId="0" applyNumberFormat="1" applyFill="1" applyBorder="1" applyAlignment="1">
      <alignment horizontal="right" vertical="top" wrapText="1"/>
    </xf>
    <xf numFmtId="9" fontId="2" fillId="3" borderId="101" xfId="0" applyNumberFormat="1" applyFont="1" applyFill="1" applyBorder="1" applyAlignment="1">
      <alignment horizontal="right" vertical="top" wrapText="1"/>
    </xf>
    <xf numFmtId="9" fontId="2" fillId="3" borderId="102" xfId="0" applyNumberFormat="1" applyFont="1" applyFill="1" applyBorder="1" applyAlignment="1">
      <alignment horizontal="right" vertical="top" wrapText="1"/>
    </xf>
    <xf numFmtId="3" fontId="2" fillId="3" borderId="21" xfId="0" applyNumberFormat="1" applyFont="1" applyFill="1" applyBorder="1" applyAlignment="1">
      <alignment horizontal="right" vertical="top" wrapText="1"/>
    </xf>
    <xf numFmtId="3" fontId="2" fillId="3" borderId="48" xfId="0" applyNumberFormat="1" applyFont="1" applyFill="1" applyBorder="1" applyAlignment="1">
      <alignment horizontal="right" vertical="top" wrapText="1"/>
    </xf>
    <xf numFmtId="49" fontId="12" fillId="4" borderId="7" xfId="0" applyNumberFormat="1" applyFont="1" applyFill="1" applyBorder="1" applyAlignment="1">
      <alignment horizontal="center" vertical="top" wrapText="1"/>
    </xf>
    <xf numFmtId="3" fontId="45" fillId="11" borderId="39" xfId="0" applyNumberFormat="1" applyFont="1" applyFill="1" applyBorder="1" applyAlignment="1" applyProtection="1">
      <alignment vertical="top"/>
      <protection locked="0"/>
    </xf>
    <xf numFmtId="3" fontId="45" fillId="11" borderId="2" xfId="0" applyNumberFormat="1" applyFont="1" applyFill="1" applyBorder="1" applyAlignment="1" applyProtection="1">
      <alignment vertical="top"/>
      <protection locked="0"/>
    </xf>
    <xf numFmtId="3" fontId="45" fillId="11" borderId="14" xfId="0" applyNumberFormat="1" applyFont="1" applyFill="1" applyBorder="1" applyAlignment="1" applyProtection="1">
      <alignment vertical="top"/>
      <protection locked="0"/>
    </xf>
    <xf numFmtId="3" fontId="45" fillId="11" borderId="22" xfId="0" applyNumberFormat="1" applyFont="1" applyFill="1" applyBorder="1" applyAlignment="1" applyProtection="1">
      <alignment vertical="top"/>
      <protection locked="0"/>
    </xf>
    <xf numFmtId="3" fontId="45" fillId="11" borderId="13" xfId="0" applyNumberFormat="1" applyFont="1" applyFill="1" applyBorder="1" applyAlignment="1" applyProtection="1">
      <alignment vertical="top"/>
      <protection locked="0"/>
    </xf>
    <xf numFmtId="3" fontId="45" fillId="11" borderId="3" xfId="0" applyNumberFormat="1" applyFont="1" applyFill="1" applyBorder="1" applyAlignment="1" applyProtection="1">
      <alignment vertical="top"/>
      <protection locked="0"/>
    </xf>
    <xf numFmtId="3" fontId="45" fillId="11" borderId="12" xfId="0" applyNumberFormat="1" applyFont="1" applyFill="1" applyBorder="1" applyAlignment="1" applyProtection="1">
      <alignment vertical="top"/>
      <protection locked="0"/>
    </xf>
    <xf numFmtId="3" fontId="45" fillId="13" borderId="39" xfId="0" applyNumberFormat="1" applyFont="1" applyFill="1" applyBorder="1" applyAlignment="1" applyProtection="1">
      <alignment vertical="top"/>
      <protection locked="0"/>
    </xf>
    <xf numFmtId="3" fontId="45" fillId="13" borderId="2" xfId="0" applyNumberFormat="1" applyFont="1" applyFill="1" applyBorder="1" applyAlignment="1" applyProtection="1">
      <alignment vertical="top"/>
      <protection locked="0"/>
    </xf>
    <xf numFmtId="3" fontId="45" fillId="13" borderId="14" xfId="0" applyNumberFormat="1" applyFont="1" applyFill="1" applyBorder="1" applyAlignment="1" applyProtection="1">
      <alignment vertical="top"/>
      <protection locked="0"/>
    </xf>
    <xf numFmtId="3" fontId="45" fillId="13" borderId="22" xfId="0" applyNumberFormat="1" applyFont="1" applyFill="1" applyBorder="1" applyAlignment="1" applyProtection="1">
      <alignment vertical="top"/>
      <protection locked="0"/>
    </xf>
    <xf numFmtId="3" fontId="45" fillId="13" borderId="13" xfId="0" applyNumberFormat="1" applyFont="1" applyFill="1" applyBorder="1" applyAlignment="1" applyProtection="1">
      <alignment vertical="top"/>
      <protection locked="0"/>
    </xf>
    <xf numFmtId="3" fontId="45" fillId="13" borderId="3" xfId="0" applyNumberFormat="1" applyFont="1" applyFill="1" applyBorder="1" applyAlignment="1" applyProtection="1">
      <alignment vertical="top"/>
      <protection locked="0"/>
    </xf>
    <xf numFmtId="3" fontId="45" fillId="13" borderId="12" xfId="0" applyNumberFormat="1" applyFont="1" applyFill="1" applyBorder="1" applyAlignment="1" applyProtection="1">
      <alignment vertical="top"/>
      <protection locked="0"/>
    </xf>
    <xf numFmtId="3" fontId="45" fillId="11" borderId="26" xfId="0" applyNumberFormat="1" applyFont="1" applyFill="1" applyBorder="1" applyAlignment="1" applyProtection="1">
      <alignment vertical="top"/>
      <protection locked="0"/>
    </xf>
    <xf numFmtId="3" fontId="45" fillId="11" borderId="11" xfId="0" applyNumberFormat="1" applyFont="1" applyFill="1" applyBorder="1" applyAlignment="1" applyProtection="1">
      <alignment vertical="top"/>
      <protection locked="0"/>
    </xf>
    <xf numFmtId="3" fontId="45" fillId="11" borderId="20" xfId="0" applyNumberFormat="1" applyFont="1" applyFill="1" applyBorder="1" applyAlignment="1" applyProtection="1">
      <alignment vertical="top"/>
      <protection locked="0"/>
    </xf>
    <xf numFmtId="3" fontId="45" fillId="11" borderId="50" xfId="0" applyNumberFormat="1" applyFont="1" applyFill="1" applyBorder="1" applyAlignment="1" applyProtection="1">
      <alignment vertical="top"/>
      <protection locked="0"/>
    </xf>
    <xf numFmtId="3" fontId="45" fillId="11" borderId="45" xfId="0" applyNumberFormat="1" applyFont="1" applyFill="1" applyBorder="1" applyAlignment="1" applyProtection="1">
      <alignment vertical="top"/>
      <protection locked="0"/>
    </xf>
    <xf numFmtId="3" fontId="45" fillId="11" borderId="48" xfId="0" applyNumberFormat="1" applyFont="1" applyFill="1" applyBorder="1" applyAlignment="1" applyProtection="1">
      <alignment vertical="top"/>
      <protection locked="0"/>
    </xf>
    <xf numFmtId="3" fontId="45" fillId="11" borderId="44" xfId="0" applyNumberFormat="1" applyFont="1" applyFill="1" applyBorder="1" applyAlignment="1" applyProtection="1">
      <alignment vertical="top"/>
      <protection locked="0"/>
    </xf>
    <xf numFmtId="3" fontId="45" fillId="11" borderId="13" xfId="0" applyNumberFormat="1" applyFont="1" applyFill="1" applyBorder="1" applyAlignment="1" applyProtection="1">
      <alignment horizontal="right" vertical="top"/>
      <protection locked="0"/>
    </xf>
    <xf numFmtId="3" fontId="45" fillId="11" borderId="3" xfId="0" applyNumberFormat="1" applyFont="1" applyFill="1" applyBorder="1" applyAlignment="1" applyProtection="1">
      <alignment horizontal="right" vertical="top"/>
      <protection locked="0"/>
    </xf>
    <xf numFmtId="3" fontId="45" fillId="11" borderId="12" xfId="0" applyNumberFormat="1" applyFont="1" applyFill="1" applyBorder="1" applyAlignment="1" applyProtection="1">
      <alignment horizontal="right" vertical="top"/>
      <protection locked="0"/>
    </xf>
    <xf numFmtId="3" fontId="45" fillId="11" borderId="11" xfId="0" applyNumberFormat="1" applyFont="1" applyFill="1" applyBorder="1" applyAlignment="1" applyProtection="1">
      <alignment horizontal="right" vertical="top"/>
      <protection locked="0"/>
    </xf>
    <xf numFmtId="3" fontId="45" fillId="11" borderId="50" xfId="0" applyNumberFormat="1" applyFont="1" applyFill="1" applyBorder="1" applyAlignment="1" applyProtection="1">
      <alignment horizontal="right" vertical="top"/>
      <protection locked="0"/>
    </xf>
    <xf numFmtId="3" fontId="45" fillId="11" borderId="45" xfId="0" applyNumberFormat="1" applyFont="1" applyFill="1" applyBorder="1" applyAlignment="1" applyProtection="1">
      <alignment horizontal="right" vertical="top"/>
      <protection locked="0"/>
    </xf>
    <xf numFmtId="3" fontId="45" fillId="11" borderId="48" xfId="0" applyNumberFormat="1" applyFont="1" applyFill="1" applyBorder="1" applyAlignment="1" applyProtection="1">
      <alignment horizontal="right" vertical="top"/>
      <protection locked="0"/>
    </xf>
    <xf numFmtId="0" fontId="18" fillId="13" borderId="31" xfId="0" applyFont="1" applyFill="1" applyBorder="1" applyAlignment="1" applyProtection="1">
      <alignment horizontal="left" vertical="top" wrapText="1"/>
      <protection locked="0"/>
    </xf>
    <xf numFmtId="0" fontId="15" fillId="13" borderId="3" xfId="0" applyFont="1" applyFill="1" applyBorder="1" applyAlignment="1" applyProtection="1">
      <alignment horizontal="left" vertical="top" wrapText="1"/>
      <protection locked="0"/>
    </xf>
    <xf numFmtId="0" fontId="18" fillId="13" borderId="3" xfId="0" applyFont="1" applyFill="1" applyBorder="1" applyAlignment="1" applyProtection="1">
      <alignment vertical="top" wrapText="1"/>
      <protection locked="0"/>
    </xf>
    <xf numFmtId="0" fontId="2" fillId="0" borderId="30" xfId="0" applyFont="1" applyBorder="1" applyAlignment="1">
      <alignment vertical="top" wrapText="1"/>
    </xf>
    <xf numFmtId="0" fontId="46" fillId="0" borderId="25" xfId="0" applyFont="1" applyBorder="1" applyAlignment="1">
      <alignment horizontal="right" vertical="top" wrapText="1"/>
    </xf>
    <xf numFmtId="0" fontId="46" fillId="0" borderId="24" xfId="0" applyFont="1" applyBorder="1" applyAlignment="1">
      <alignment horizontal="right" vertical="top" wrapText="1"/>
    </xf>
    <xf numFmtId="0" fontId="46" fillId="0" borderId="106" xfId="0" applyFont="1" applyBorder="1" applyAlignment="1">
      <alignment horizontal="right" vertical="top" wrapText="1"/>
    </xf>
    <xf numFmtId="0" fontId="46" fillId="0" borderId="25" xfId="0" applyFont="1" applyBorder="1" applyAlignment="1">
      <alignment vertical="top"/>
    </xf>
    <xf numFmtId="0" fontId="46" fillId="0" borderId="59" xfId="0" applyFont="1" applyBorder="1" applyAlignment="1">
      <alignment vertical="top" wrapText="1"/>
    </xf>
    <xf numFmtId="3" fontId="46" fillId="0" borderId="30" xfId="0" applyNumberFormat="1" applyFont="1" applyBorder="1" applyAlignment="1">
      <alignment vertical="top"/>
    </xf>
    <xf numFmtId="3" fontId="46" fillId="0" borderId="23" xfId="0" applyNumberFormat="1" applyFont="1" applyBorder="1" applyAlignment="1">
      <alignment horizontal="right" vertical="top" wrapText="1"/>
    </xf>
    <xf numFmtId="3" fontId="46" fillId="0" borderId="110" xfId="0" applyNumberFormat="1" applyFont="1" applyBorder="1" applyAlignment="1">
      <alignment horizontal="right" vertical="top" wrapText="1"/>
    </xf>
    <xf numFmtId="3" fontId="46" fillId="0" borderId="25" xfId="0" applyNumberFormat="1" applyFont="1" applyBorder="1" applyAlignment="1">
      <alignment horizontal="right" vertical="top" wrapText="1"/>
    </xf>
    <xf numFmtId="0" fontId="46" fillId="0" borderId="39" xfId="0" applyFont="1" applyBorder="1" applyAlignment="1">
      <alignment vertical="top" wrapText="1"/>
    </xf>
    <xf numFmtId="3" fontId="46" fillId="0" borderId="39"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46" fillId="0" borderId="26" xfId="0" applyFont="1" applyBorder="1" applyAlignment="1">
      <alignment vertical="top" wrapText="1"/>
    </xf>
    <xf numFmtId="3" fontId="46"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46" fillId="0" borderId="35" xfId="0" applyFont="1" applyBorder="1" applyAlignment="1">
      <alignment vertical="top" wrapText="1"/>
    </xf>
    <xf numFmtId="3" fontId="46"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46" fillId="0" borderId="23" xfId="0" applyFont="1" applyBorder="1" applyAlignment="1">
      <alignment horizontal="right" vertical="top" wrapText="1"/>
    </xf>
    <xf numFmtId="0" fontId="46" fillId="0" borderId="108" xfId="0" applyFont="1" applyBorder="1" applyAlignment="1">
      <alignment horizontal="right" vertical="top" wrapText="1"/>
    </xf>
    <xf numFmtId="0" fontId="46" fillId="0" borderId="73" xfId="0" applyFont="1" applyBorder="1" applyAlignment="1">
      <alignment vertical="top" wrapText="1"/>
    </xf>
    <xf numFmtId="3" fontId="46" fillId="0" borderId="59" xfId="0" applyNumberFormat="1" applyFont="1" applyBorder="1" applyAlignment="1">
      <alignment horizontal="right" vertical="top" wrapText="1"/>
    </xf>
    <xf numFmtId="3" fontId="46" fillId="0" borderId="109" xfId="0" applyNumberFormat="1" applyFont="1" applyBorder="1" applyAlignment="1">
      <alignment horizontal="right" vertical="top" wrapText="1"/>
    </xf>
    <xf numFmtId="3" fontId="46" fillId="0" borderId="107" xfId="0" applyNumberFormat="1" applyFont="1" applyBorder="1" applyAlignment="1">
      <alignment horizontal="right" vertical="top" wrapText="1"/>
    </xf>
    <xf numFmtId="3" fontId="46" fillId="0" borderId="57" xfId="0" applyNumberFormat="1" applyFont="1" applyBorder="1" applyAlignment="1">
      <alignment horizontal="right" vertical="top" wrapText="1"/>
    </xf>
    <xf numFmtId="0" fontId="36" fillId="0" borderId="40" xfId="0" applyFont="1" applyBorder="1" applyAlignment="1">
      <alignment vertical="top" wrapText="1"/>
    </xf>
    <xf numFmtId="3" fontId="46" fillId="0" borderId="40" xfId="0" applyNumberFormat="1" applyFont="1" applyBorder="1" applyAlignment="1">
      <alignment vertical="top"/>
    </xf>
    <xf numFmtId="3" fontId="2" fillId="0" borderId="74"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46"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6" fillId="0" borderId="73" xfId="0" applyFont="1" applyBorder="1" applyAlignment="1">
      <alignment vertical="top" wrapText="1"/>
    </xf>
    <xf numFmtId="3" fontId="46" fillId="0" borderId="37" xfId="0" applyNumberFormat="1" applyFont="1" applyBorder="1" applyAlignment="1">
      <alignment vertical="top"/>
    </xf>
    <xf numFmtId="3" fontId="2" fillId="0" borderId="72"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3" fontId="45" fillId="12" borderId="4" xfId="0" applyNumberFormat="1" applyFont="1" applyFill="1" applyBorder="1" applyAlignment="1">
      <alignment vertical="top"/>
    </xf>
    <xf numFmtId="3" fontId="45" fillId="12" borderId="68" xfId="0" applyNumberFormat="1" applyFont="1" applyFill="1" applyBorder="1" applyAlignment="1">
      <alignment vertical="top"/>
    </xf>
    <xf numFmtId="3" fontId="45" fillId="12" borderId="6" xfId="0" applyNumberFormat="1" applyFont="1" applyFill="1" applyBorder="1" applyAlignment="1">
      <alignment vertical="top"/>
    </xf>
    <xf numFmtId="3" fontId="45" fillId="12" borderId="19" xfId="0" applyNumberFormat="1" applyFont="1" applyFill="1" applyBorder="1" applyAlignment="1">
      <alignment horizontal="right" vertical="top"/>
    </xf>
    <xf numFmtId="3" fontId="45" fillId="12" borderId="3" xfId="0" applyNumberFormat="1" applyFont="1" applyFill="1" applyBorder="1" applyAlignment="1">
      <alignment horizontal="right" vertical="top"/>
    </xf>
    <xf numFmtId="3" fontId="45" fillId="12" borderId="12" xfId="0" applyNumberFormat="1" applyFont="1" applyFill="1" applyBorder="1" applyAlignment="1">
      <alignment horizontal="right" vertical="top"/>
    </xf>
    <xf numFmtId="3" fontId="45" fillId="12" borderId="13" xfId="0" applyNumberFormat="1" applyFont="1" applyFill="1" applyBorder="1" applyAlignment="1">
      <alignment horizontal="right" vertical="top"/>
    </xf>
    <xf numFmtId="3" fontId="45" fillId="12" borderId="44" xfId="0" applyNumberFormat="1" applyFont="1" applyFill="1" applyBorder="1" applyAlignment="1">
      <alignment horizontal="right" vertical="top"/>
    </xf>
    <xf numFmtId="3" fontId="45" fillId="12" borderId="45" xfId="0" applyNumberFormat="1" applyFont="1" applyFill="1" applyBorder="1" applyAlignment="1">
      <alignment horizontal="right" vertical="top"/>
    </xf>
    <xf numFmtId="3" fontId="45" fillId="12" borderId="48" xfId="0" applyNumberFormat="1" applyFont="1" applyFill="1" applyBorder="1" applyAlignment="1">
      <alignment horizontal="right" vertical="top"/>
    </xf>
    <xf numFmtId="3" fontId="45" fillId="12" borderId="50" xfId="0" applyNumberFormat="1" applyFont="1" applyFill="1" applyBorder="1" applyAlignment="1">
      <alignment horizontal="right" vertical="top"/>
    </xf>
    <xf numFmtId="0" fontId="27" fillId="14" borderId="3" xfId="0" applyFont="1" applyFill="1" applyBorder="1" applyAlignment="1">
      <alignment horizontal="center" vertical="top" wrapText="1"/>
    </xf>
    <xf numFmtId="0" fontId="26" fillId="0" borderId="0" xfId="0" applyFont="1"/>
    <xf numFmtId="0" fontId="26" fillId="0" borderId="0" xfId="0" applyFont="1" applyAlignment="1">
      <alignment vertical="top"/>
    </xf>
    <xf numFmtId="0" fontId="26" fillId="0" borderId="0" xfId="0" applyFont="1" applyAlignment="1">
      <alignment horizontal="left" vertical="top"/>
    </xf>
    <xf numFmtId="3" fontId="0" fillId="0" borderId="68" xfId="0" applyNumberFormat="1" applyBorder="1" applyAlignment="1">
      <alignment vertical="top"/>
    </xf>
    <xf numFmtId="3" fontId="0" fillId="0" borderId="17" xfId="0" applyNumberFormat="1" applyBorder="1" applyAlignment="1">
      <alignment vertical="top"/>
    </xf>
    <xf numFmtId="0" fontId="0" fillId="11" borderId="0" xfId="0" applyFill="1" applyAlignment="1">
      <alignment vertical="top"/>
    </xf>
    <xf numFmtId="3" fontId="0" fillId="11" borderId="4" xfId="0" applyNumberFormat="1" applyFill="1" applyBorder="1" applyAlignment="1">
      <alignment vertical="top"/>
    </xf>
    <xf numFmtId="3" fontId="0" fillId="11" borderId="5" xfId="0" applyNumberFormat="1" applyFill="1" applyBorder="1" applyAlignment="1">
      <alignment vertical="top"/>
    </xf>
    <xf numFmtId="3" fontId="0" fillId="11" borderId="6" xfId="0" applyNumberFormat="1" applyFill="1" applyBorder="1" applyAlignment="1">
      <alignment vertical="top"/>
    </xf>
    <xf numFmtId="3" fontId="0" fillId="11" borderId="18" xfId="0" applyNumberFormat="1" applyFill="1" applyBorder="1" applyAlignment="1">
      <alignment vertical="top"/>
    </xf>
    <xf numFmtId="3" fontId="0" fillId="11" borderId="16" xfId="0" applyNumberFormat="1" applyFill="1" applyBorder="1" applyAlignment="1">
      <alignment vertical="top"/>
    </xf>
    <xf numFmtId="3" fontId="0" fillId="11" borderId="15" xfId="0" applyNumberFormat="1" applyFill="1" applyBorder="1" applyAlignment="1">
      <alignment vertical="top"/>
    </xf>
    <xf numFmtId="3" fontId="0" fillId="11" borderId="0" xfId="0" applyNumberFormat="1" applyFill="1" applyAlignment="1">
      <alignment vertical="top"/>
    </xf>
    <xf numFmtId="3" fontId="0" fillId="11" borderId="68" xfId="0" applyNumberFormat="1" applyFill="1" applyBorder="1" applyAlignment="1">
      <alignment vertical="top"/>
    </xf>
    <xf numFmtId="3" fontId="0" fillId="11" borderId="17" xfId="0" applyNumberFormat="1" applyFill="1" applyBorder="1" applyAlignment="1">
      <alignment vertical="top"/>
    </xf>
    <xf numFmtId="3" fontId="0" fillId="13" borderId="4" xfId="0" applyNumberFormat="1" applyFill="1" applyBorder="1" applyAlignment="1">
      <alignment vertical="top"/>
    </xf>
    <xf numFmtId="3" fontId="0" fillId="13" borderId="5" xfId="0" applyNumberFormat="1" applyFill="1" applyBorder="1" applyAlignment="1">
      <alignment vertical="top"/>
    </xf>
    <xf numFmtId="3" fontId="0" fillId="13" borderId="18" xfId="0" applyNumberFormat="1" applyFill="1" applyBorder="1" applyAlignment="1">
      <alignment vertical="top"/>
    </xf>
    <xf numFmtId="3" fontId="0" fillId="13" borderId="16" xfId="0" applyNumberFormat="1" applyFill="1" applyBorder="1" applyAlignment="1">
      <alignment vertical="top"/>
    </xf>
    <xf numFmtId="3" fontId="0" fillId="13" borderId="0" xfId="0" applyNumberFormat="1" applyFill="1" applyAlignment="1">
      <alignment vertical="top"/>
    </xf>
    <xf numFmtId="0" fontId="0" fillId="13" borderId="0" xfId="0" applyFill="1" applyAlignment="1">
      <alignment vertical="top"/>
    </xf>
    <xf numFmtId="3" fontId="0" fillId="13" borderId="68" xfId="0" applyNumberFormat="1" applyFill="1" applyBorder="1" applyAlignment="1">
      <alignment vertical="top"/>
    </xf>
    <xf numFmtId="3" fontId="0" fillId="13" borderId="17" xfId="0" applyNumberFormat="1" applyFill="1" applyBorder="1" applyAlignment="1">
      <alignment vertical="top"/>
    </xf>
    <xf numFmtId="3" fontId="0" fillId="11" borderId="33" xfId="0" applyNumberFormat="1" applyFill="1" applyBorder="1" applyAlignment="1">
      <alignment vertical="top"/>
    </xf>
    <xf numFmtId="3" fontId="4" fillId="11" borderId="35" xfId="0" applyNumberFormat="1" applyFont="1" applyFill="1" applyBorder="1" applyAlignment="1" applyProtection="1">
      <alignment horizontal="left" vertical="top" wrapText="1"/>
      <protection locked="0"/>
    </xf>
    <xf numFmtId="0" fontId="4" fillId="0" borderId="0" xfId="0" applyFont="1" applyAlignment="1">
      <alignment horizontal="left" vertical="top"/>
    </xf>
    <xf numFmtId="0" fontId="52" fillId="9" borderId="3" xfId="0" applyFont="1" applyFill="1" applyBorder="1" applyAlignment="1">
      <alignment horizontal="left" vertical="top" wrapText="1"/>
    </xf>
    <xf numFmtId="14" fontId="52" fillId="9" borderId="3" xfId="0" applyNumberFormat="1" applyFont="1" applyFill="1" applyBorder="1" applyAlignment="1">
      <alignment horizontal="center" vertical="top" wrapText="1"/>
    </xf>
    <xf numFmtId="0" fontId="52" fillId="9" borderId="3" xfId="0" applyFont="1" applyFill="1" applyBorder="1" applyAlignment="1">
      <alignment horizontal="center" vertical="top" wrapText="1"/>
    </xf>
    <xf numFmtId="3" fontId="52" fillId="0" borderId="3" xfId="0" applyNumberFormat="1" applyFont="1" applyBorder="1" applyAlignment="1">
      <alignment horizontal="left" vertical="top" wrapText="1"/>
    </xf>
    <xf numFmtId="3" fontId="51" fillId="0" borderId="21" xfId="0" applyNumberFormat="1" applyFont="1" applyBorder="1" applyAlignment="1">
      <alignment horizontal="center" vertical="top" wrapText="1"/>
    </xf>
    <xf numFmtId="3" fontId="52" fillId="0" borderId="11" xfId="0" applyNumberFormat="1" applyFont="1" applyBorder="1" applyAlignment="1">
      <alignment horizontal="left" vertical="top" wrapText="1"/>
    </xf>
    <xf numFmtId="3" fontId="52" fillId="0" borderId="3" xfId="0" applyNumberFormat="1" applyFont="1" applyBorder="1" applyAlignment="1">
      <alignment horizontal="center" vertical="top" wrapText="1"/>
    </xf>
    <xf numFmtId="165" fontId="50" fillId="0" borderId="3" xfId="0" applyNumberFormat="1" applyFont="1" applyBorder="1" applyAlignment="1">
      <alignment horizontal="center"/>
    </xf>
    <xf numFmtId="0" fontId="1" fillId="0" borderId="3" xfId="0" applyFont="1" applyBorder="1" applyAlignment="1">
      <alignment horizontal="center" vertical="center"/>
    </xf>
    <xf numFmtId="3" fontId="16" fillId="0" borderId="3"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16" fillId="0" borderId="21" xfId="0" applyNumberFormat="1" applyFont="1" applyBorder="1" applyAlignment="1">
      <alignment horizontal="center" vertical="center"/>
    </xf>
    <xf numFmtId="3" fontId="19" fillId="0" borderId="21"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3" xfId="0" applyFont="1" applyBorder="1" applyAlignment="1">
      <alignment vertical="center"/>
    </xf>
    <xf numFmtId="0" fontId="15" fillId="0" borderId="3"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3" fontId="16" fillId="0" borderId="3" xfId="0" applyNumberFormat="1" applyFont="1" applyBorder="1" applyAlignment="1">
      <alignment vertical="center"/>
    </xf>
    <xf numFmtId="3" fontId="19" fillId="0" borderId="3" xfId="0" applyNumberFormat="1" applyFont="1" applyBorder="1" applyAlignment="1">
      <alignment vertical="center"/>
    </xf>
    <xf numFmtId="3" fontId="1" fillId="0" borderId="3" xfId="0" applyNumberFormat="1" applyFont="1" applyBorder="1" applyAlignment="1">
      <alignment vertical="center"/>
    </xf>
    <xf numFmtId="3" fontId="53" fillId="12" borderId="14" xfId="0" applyNumberFormat="1" applyFont="1" applyFill="1" applyBorder="1" applyAlignment="1">
      <alignment vertical="top"/>
    </xf>
    <xf numFmtId="3" fontId="19" fillId="12" borderId="39" xfId="0" applyNumberFormat="1" applyFont="1" applyFill="1" applyBorder="1" applyAlignment="1">
      <alignment vertical="top"/>
    </xf>
    <xf numFmtId="3" fontId="19" fillId="12" borderId="74" xfId="0" applyNumberFormat="1" applyFont="1" applyFill="1" applyBorder="1" applyAlignment="1">
      <alignment vertical="top"/>
    </xf>
    <xf numFmtId="0" fontId="55" fillId="0" borderId="3" xfId="0" applyFont="1" applyBorder="1" applyAlignment="1">
      <alignment horizontal="left" vertical="top"/>
    </xf>
    <xf numFmtId="0" fontId="55" fillId="0" borderId="11" xfId="0" applyFont="1" applyBorder="1" applyAlignment="1">
      <alignment horizontal="center"/>
    </xf>
    <xf numFmtId="0" fontId="56" fillId="0" borderId="3" xfId="0" applyFont="1" applyBorder="1" applyAlignment="1">
      <alignment horizontal="left" vertical="top"/>
    </xf>
    <xf numFmtId="0" fontId="56" fillId="0" borderId="3" xfId="0" applyFont="1" applyBorder="1" applyAlignment="1">
      <alignment horizontal="center" vertical="top"/>
    </xf>
    <xf numFmtId="0" fontId="56" fillId="0" borderId="0" xfId="0" applyFont="1"/>
    <xf numFmtId="0" fontId="56" fillId="0" borderId="0" xfId="0" applyFont="1" applyAlignment="1">
      <alignment vertical="top"/>
    </xf>
    <xf numFmtId="0" fontId="56" fillId="0" borderId="3" xfId="0" applyFont="1" applyBorder="1" applyAlignment="1">
      <alignment horizontal="left" vertical="center"/>
    </xf>
    <xf numFmtId="0" fontId="56" fillId="0" borderId="3" xfId="0" applyFont="1" applyBorder="1" applyAlignment="1">
      <alignment horizontal="center" vertical="center"/>
    </xf>
    <xf numFmtId="0" fontId="56" fillId="0" borderId="3" xfId="0" applyFont="1" applyBorder="1" applyAlignment="1">
      <alignment vertical="center"/>
    </xf>
    <xf numFmtId="1" fontId="56" fillId="0" borderId="3" xfId="0" applyNumberFormat="1" applyFont="1" applyBorder="1" applyAlignment="1">
      <alignment horizontal="right" vertical="center"/>
    </xf>
    <xf numFmtId="0" fontId="54" fillId="0" borderId="21" xfId="0" applyFont="1" applyBorder="1" applyAlignment="1">
      <alignment horizontal="left" vertical="center"/>
    </xf>
    <xf numFmtId="0" fontId="55" fillId="0" borderId="3" xfId="0" applyFont="1" applyBorder="1" applyAlignment="1">
      <alignment horizontal="left" vertical="center"/>
    </xf>
    <xf numFmtId="0" fontId="56" fillId="0" borderId="11" xfId="0" applyFont="1" applyBorder="1" applyAlignment="1">
      <alignment horizontal="left" vertical="top"/>
    </xf>
    <xf numFmtId="0" fontId="56" fillId="0" borderId="11" xfId="0" applyFont="1" applyBorder="1" applyAlignment="1">
      <alignment horizontal="center" vertical="center"/>
    </xf>
    <xf numFmtId="0" fontId="56" fillId="0" borderId="19" xfId="0" applyFont="1" applyBorder="1" applyAlignment="1">
      <alignment horizontal="center" vertical="center"/>
    </xf>
    <xf numFmtId="0" fontId="56" fillId="0" borderId="74" xfId="0" applyFont="1" applyBorder="1" applyAlignment="1">
      <alignment horizontal="center" vertical="center"/>
    </xf>
    <xf numFmtId="0" fontId="55" fillId="0" borderId="11" xfId="0" applyFont="1" applyBorder="1" applyAlignment="1">
      <alignment horizontal="left" vertical="top"/>
    </xf>
    <xf numFmtId="0" fontId="56" fillId="0" borderId="1" xfId="0" applyFont="1" applyBorder="1" applyAlignment="1">
      <alignment horizontal="left" vertical="center"/>
    </xf>
    <xf numFmtId="0" fontId="56" fillId="0" borderId="3" xfId="0" applyFont="1" applyBorder="1" applyAlignment="1">
      <alignment horizontal="right" vertical="center"/>
    </xf>
    <xf numFmtId="0" fontId="56" fillId="0" borderId="19" xfId="0" applyFont="1" applyBorder="1" applyAlignment="1">
      <alignment horizontal="center" vertical="top"/>
    </xf>
    <xf numFmtId="0" fontId="57" fillId="0" borderId="3" xfId="0" applyFont="1" applyBorder="1" applyAlignment="1">
      <alignment horizontal="right" vertical="center"/>
    </xf>
    <xf numFmtId="0" fontId="58" fillId="0" borderId="0" xfId="0" applyFont="1" applyAlignment="1">
      <alignment vertical="top"/>
    </xf>
    <xf numFmtId="0" fontId="0" fillId="0" borderId="3" xfId="0" applyBorder="1"/>
    <xf numFmtId="0" fontId="18" fillId="11" borderId="43" xfId="0" applyFont="1" applyFill="1" applyBorder="1" applyAlignment="1" applyProtection="1">
      <alignment vertical="top" wrapText="1"/>
      <protection locked="0"/>
    </xf>
    <xf numFmtId="0" fontId="54" fillId="0" borderId="0" xfId="0" applyFont="1" applyBorder="1" applyAlignment="1">
      <alignment horizontal="left" vertical="center"/>
    </xf>
    <xf numFmtId="0" fontId="56" fillId="0" borderId="0" xfId="0" applyFont="1" applyBorder="1" applyAlignment="1">
      <alignment horizontal="left" vertical="center"/>
    </xf>
    <xf numFmtId="0" fontId="56" fillId="0" borderId="0" xfId="0" applyFont="1" applyBorder="1" applyAlignment="1">
      <alignment horizontal="center" vertical="center"/>
    </xf>
    <xf numFmtId="1" fontId="55" fillId="0" borderId="0" xfId="0" applyNumberFormat="1" applyFont="1" applyBorder="1" applyAlignment="1">
      <alignment horizontal="right" vertical="center"/>
    </xf>
    <xf numFmtId="0" fontId="56" fillId="0" borderId="0" xfId="0" applyFont="1" applyBorder="1" applyAlignment="1">
      <alignment horizontal="right" vertical="center"/>
    </xf>
    <xf numFmtId="3" fontId="2" fillId="11" borderId="35" xfId="0" applyNumberFormat="1" applyFont="1" applyFill="1" applyBorder="1" applyAlignment="1" applyProtection="1">
      <alignment horizontal="left" vertical="top" wrapText="1"/>
      <protection locked="0"/>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164" fontId="6" fillId="4" borderId="43" xfId="0" applyNumberFormat="1" applyFont="1" applyFill="1" applyBorder="1" applyAlignment="1">
      <alignment horizontal="center" vertical="top" wrapText="1"/>
    </xf>
    <xf numFmtId="0" fontId="0" fillId="0" borderId="0" xfId="0" applyAlignment="1">
      <alignment horizontal="center" vertical="top" wrapText="1"/>
    </xf>
    <xf numFmtId="0" fontId="0" fillId="0" borderId="54" xfId="0" applyBorder="1" applyAlignment="1">
      <alignment horizontal="center" vertical="top" wrapText="1"/>
    </xf>
    <xf numFmtId="0" fontId="3" fillId="0" borderId="70" xfId="0" applyFont="1"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3" fillId="0" borderId="71" xfId="0" applyFont="1" applyBorder="1" applyAlignment="1">
      <alignment horizontal="left" vertical="top" wrapText="1"/>
    </xf>
    <xf numFmtId="0" fontId="0" fillId="0" borderId="56" xfId="0" applyBorder="1" applyAlignment="1">
      <alignment vertical="top"/>
    </xf>
    <xf numFmtId="0" fontId="0" fillId="0" borderId="57" xfId="0" applyBorder="1" applyAlignment="1">
      <alignment vertical="top"/>
    </xf>
    <xf numFmtId="1" fontId="1" fillId="4" borderId="24"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0" fillId="4" borderId="28" xfId="0" applyFill="1" applyBorder="1" applyAlignment="1">
      <alignment vertical="top"/>
    </xf>
    <xf numFmtId="0" fontId="0" fillId="4" borderId="27" xfId="0" applyFill="1" applyBorder="1" applyAlignment="1">
      <alignment vertical="top"/>
    </xf>
    <xf numFmtId="0" fontId="2" fillId="2" borderId="68" xfId="0" applyFont="1" applyFill="1" applyBorder="1" applyAlignment="1">
      <alignment vertical="top" wrapText="1"/>
    </xf>
    <xf numFmtId="0" fontId="2" fillId="2" borderId="69"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8" xfId="0" applyFill="1" applyBorder="1" applyAlignment="1">
      <alignment vertical="top" wrapText="1"/>
    </xf>
    <xf numFmtId="0" fontId="0" fillId="8" borderId="3" xfId="0" applyFill="1" applyBorder="1" applyAlignment="1">
      <alignment horizontal="lef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59" xfId="0" applyFont="1" applyBorder="1" applyAlignment="1">
      <alignment horizontal="left" vertical="top" wrapText="1"/>
    </xf>
    <xf numFmtId="0" fontId="3" fillId="0" borderId="77" xfId="0" applyFont="1" applyBorder="1" applyAlignment="1">
      <alignment horizontal="left" vertical="top" wrapText="1"/>
    </xf>
    <xf numFmtId="0" fontId="2" fillId="2" borderId="96" xfId="0" applyFont="1" applyFill="1" applyBorder="1" applyAlignment="1">
      <alignment vertical="top" wrapText="1"/>
    </xf>
    <xf numFmtId="0" fontId="2" fillId="2" borderId="97" xfId="0" applyFont="1" applyFill="1" applyBorder="1" applyAlignment="1">
      <alignment vertical="top" wrapText="1"/>
    </xf>
    <xf numFmtId="0" fontId="3" fillId="0" borderId="28" xfId="0" applyFont="1" applyBorder="1" applyAlignment="1">
      <alignment horizontal="left" vertical="top" wrapText="1"/>
    </xf>
    <xf numFmtId="0" fontId="3" fillId="0" borderId="91" xfId="0" applyFont="1" applyBorder="1" applyAlignment="1">
      <alignment horizontal="left"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29" fillId="6" borderId="83" xfId="0" applyFont="1" applyFill="1" applyBorder="1" applyAlignment="1">
      <alignment horizontal="center" vertical="top" wrapText="1"/>
    </xf>
    <xf numFmtId="0" fontId="29" fillId="6" borderId="86" xfId="0" applyFont="1" applyFill="1" applyBorder="1" applyAlignment="1">
      <alignment horizontal="center" vertical="top" wrapText="1"/>
    </xf>
    <xf numFmtId="0" fontId="29" fillId="6" borderId="84" xfId="0" applyFont="1" applyFill="1" applyBorder="1" applyAlignment="1">
      <alignment horizontal="center" vertical="top"/>
    </xf>
    <xf numFmtId="0" fontId="29" fillId="6" borderId="60" xfId="0" applyFont="1" applyFill="1" applyBorder="1" applyAlignment="1">
      <alignment horizontal="center" vertical="top"/>
    </xf>
    <xf numFmtId="0" fontId="27"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6" xfId="0" applyBorder="1" applyAlignment="1">
      <alignment horizontal="center" vertical="top" wrapText="1"/>
    </xf>
    <xf numFmtId="0" fontId="0" fillId="0" borderId="63" xfId="0" applyBorder="1" applyAlignment="1">
      <alignment horizontal="center" vertical="top" wrapText="1"/>
    </xf>
    <xf numFmtId="0" fontId="27" fillId="6" borderId="85" xfId="0" applyFont="1" applyFill="1" applyBorder="1" applyAlignment="1">
      <alignment horizontal="center" vertical="top" wrapText="1"/>
    </xf>
    <xf numFmtId="0" fontId="27" fillId="6" borderId="66" xfId="0" applyFont="1" applyFill="1" applyBorder="1" applyAlignment="1">
      <alignment horizontal="center" vertical="top" wrapText="1"/>
    </xf>
    <xf numFmtId="0" fontId="0" fillId="0" borderId="0" xfId="0" applyAlignment="1">
      <alignment vertical="top" wrapText="1"/>
    </xf>
    <xf numFmtId="0" fontId="30" fillId="6" borderId="62" xfId="0" applyFont="1" applyFill="1" applyBorder="1" applyAlignment="1">
      <alignment horizontal="center" vertical="top" wrapText="1"/>
    </xf>
    <xf numFmtId="0" fontId="30" fillId="6" borderId="63" xfId="0" applyFont="1" applyFill="1" applyBorder="1" applyAlignment="1">
      <alignment horizontal="center" vertical="top" wrapText="1"/>
    </xf>
    <xf numFmtId="0" fontId="27" fillId="6" borderId="29" xfId="0" applyFont="1" applyFill="1" applyBorder="1" applyAlignment="1">
      <alignment horizontal="center" vertical="top" wrapText="1"/>
    </xf>
    <xf numFmtId="0" fontId="30" fillId="6" borderId="54" xfId="0" applyFont="1" applyFill="1" applyBorder="1" applyAlignment="1">
      <alignment horizontal="center" vertical="top" wrapText="1"/>
    </xf>
    <xf numFmtId="0" fontId="2" fillId="11" borderId="11" xfId="0" applyFont="1" applyFill="1" applyBorder="1" applyAlignment="1" applyProtection="1">
      <alignment vertical="top" wrapText="1"/>
      <protection locked="0"/>
    </xf>
    <xf numFmtId="0" fontId="2" fillId="0" borderId="20" xfId="0" applyFont="1" applyBorder="1" applyAlignment="1">
      <alignment vertical="top" wrapText="1"/>
    </xf>
    <xf numFmtId="0" fontId="2" fillId="0" borderId="19" xfId="0" applyFont="1" applyBorder="1"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2" borderId="6" xfId="0" applyFill="1" applyBorder="1" applyAlignment="1">
      <alignment vertical="top" wrapText="1"/>
    </xf>
    <xf numFmtId="0" fontId="0" fillId="2" borderId="96" xfId="0" applyFill="1" applyBorder="1" applyAlignment="1">
      <alignment vertical="top" wrapText="1"/>
    </xf>
    <xf numFmtId="0" fontId="0" fillId="2" borderId="97" xfId="0" applyFill="1" applyBorder="1" applyAlignment="1">
      <alignment vertical="top" wrapText="1"/>
    </xf>
    <xf numFmtId="0" fontId="40" fillId="9" borderId="3" xfId="0" applyFont="1" applyFill="1" applyBorder="1" applyAlignment="1">
      <alignment horizontal="center" vertical="top" wrapText="1"/>
    </xf>
    <xf numFmtId="0" fontId="0" fillId="0" borderId="3" xfId="0" applyBorder="1" applyAlignment="1">
      <alignment horizontal="center" vertical="top" wrapText="1"/>
    </xf>
    <xf numFmtId="0" fontId="40" fillId="9" borderId="3" xfId="0" applyFont="1" applyFill="1" applyBorder="1" applyAlignment="1">
      <alignment horizontal="left" vertical="top" wrapText="1"/>
    </xf>
    <xf numFmtId="3" fontId="41" fillId="0" borderId="0" xfId="0" applyNumberFormat="1" applyFont="1" applyAlignment="1">
      <alignment horizontal="left" vertical="top" wrapText="1"/>
    </xf>
    <xf numFmtId="0" fontId="0" fillId="0" borderId="0" xfId="0" applyAlignment="1">
      <alignment vertical="top"/>
    </xf>
    <xf numFmtId="0" fontId="6" fillId="4" borderId="21" xfId="0" applyFont="1" applyFill="1" applyBorder="1" applyAlignment="1">
      <alignment horizontal="center" vertical="top" wrapText="1"/>
    </xf>
    <xf numFmtId="0" fontId="6" fillId="4" borderId="46" xfId="0" applyFont="1" applyFill="1" applyBorder="1" applyAlignment="1">
      <alignment horizontal="center" vertical="top" wrapText="1"/>
    </xf>
    <xf numFmtId="0" fontId="30" fillId="14" borderId="21" xfId="0" applyFont="1" applyFill="1" applyBorder="1" applyAlignment="1">
      <alignment horizontal="center" vertical="top" wrapText="1"/>
    </xf>
    <xf numFmtId="0" fontId="30" fillId="14" borderId="1" xfId="0" applyFont="1" applyFill="1" applyBorder="1" applyAlignment="1">
      <alignment horizontal="center" vertical="top" wrapText="1"/>
    </xf>
    <xf numFmtId="0" fontId="49" fillId="4" borderId="21" xfId="0" applyFont="1" applyFill="1" applyBorder="1" applyAlignment="1">
      <alignment horizontal="center" vertical="top" wrapText="1"/>
    </xf>
    <xf numFmtId="0" fontId="49" fillId="4" borderId="1" xfId="0" applyFont="1" applyFill="1" applyBorder="1" applyAlignment="1">
      <alignment horizontal="center" vertical="top" wrapText="1"/>
    </xf>
    <xf numFmtId="0" fontId="49" fillId="4" borderId="46" xfId="0" applyFont="1" applyFill="1" applyBorder="1" applyAlignment="1">
      <alignment horizontal="center" vertical="top" wrapText="1"/>
    </xf>
    <xf numFmtId="0" fontId="46"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6" fillId="4" borderId="1" xfId="0" applyFont="1" applyFill="1" applyBorder="1" applyAlignment="1">
      <alignment horizontal="center" vertical="top" wrapText="1"/>
    </xf>
    <xf numFmtId="0" fontId="49" fillId="4" borderId="11" xfId="0" applyFont="1" applyFill="1" applyBorder="1" applyAlignment="1">
      <alignment horizontal="center" vertical="top" wrapText="1"/>
    </xf>
    <xf numFmtId="0" fontId="27" fillId="14" borderId="0" xfId="0" applyFont="1" applyFill="1" applyBorder="1" applyAlignment="1">
      <alignment horizontal="center" vertical="top" wrapText="1"/>
    </xf>
    <xf numFmtId="0" fontId="30" fillId="14" borderId="0" xfId="0" applyFont="1" applyFill="1" applyBorder="1" applyAlignment="1">
      <alignment horizontal="center" vertical="top" wrapText="1"/>
    </xf>
    <xf numFmtId="3" fontId="56" fillId="0" borderId="0" xfId="0" applyNumberFormat="1" applyFont="1" applyBorder="1" applyAlignment="1">
      <alignment horizontal="center" vertical="center"/>
    </xf>
    <xf numFmtId="3" fontId="0" fillId="0" borderId="0" xfId="0" applyNumberFormat="1"/>
    <xf numFmtId="0" fontId="15" fillId="0" borderId="3" xfId="0" applyFont="1" applyBorder="1" applyAlignment="1">
      <alignment horizontal="left" vertical="top" wrapText="1"/>
    </xf>
    <xf numFmtId="0" fontId="18" fillId="0" borderId="3" xfId="0" applyFont="1" applyBorder="1"/>
    <xf numFmtId="0" fontId="18" fillId="0" borderId="3" xfId="0" applyFont="1" applyBorder="1" applyAlignment="1">
      <alignment horizontal="center" vertical="top"/>
    </xf>
    <xf numFmtId="0" fontId="18" fillId="0" borderId="11" xfId="0" applyFont="1" applyBorder="1" applyAlignment="1">
      <alignment horizontal="center"/>
    </xf>
    <xf numFmtId="0" fontId="18" fillId="0" borderId="3" xfId="0" applyFont="1" applyBorder="1" applyAlignment="1">
      <alignment horizontal="center"/>
    </xf>
    <xf numFmtId="1" fontId="18" fillId="0" borderId="3" xfId="0" applyNumberFormat="1" applyFont="1" applyBorder="1" applyAlignment="1">
      <alignment horizontal="right"/>
    </xf>
    <xf numFmtId="0" fontId="18" fillId="0" borderId="3" xfId="0" applyFont="1" applyBorder="1" applyAlignment="1">
      <alignment horizontal="left" vertical="top"/>
    </xf>
    <xf numFmtId="0" fontId="18" fillId="0" borderId="19" xfId="0" applyFont="1" applyBorder="1" applyAlignment="1">
      <alignment horizontal="center" vertical="top"/>
    </xf>
    <xf numFmtId="0" fontId="18" fillId="0" borderId="19" xfId="0" applyFont="1" applyBorder="1" applyAlignment="1">
      <alignment horizontal="center" vertical="center"/>
    </xf>
    <xf numFmtId="3" fontId="18" fillId="0" borderId="3" xfId="0" applyNumberFormat="1" applyFont="1" applyBorder="1" applyAlignment="1">
      <alignment horizontal="center" vertical="center"/>
    </xf>
    <xf numFmtId="0" fontId="20" fillId="0" borderId="11" xfId="0" applyFont="1" applyBorder="1" applyAlignment="1">
      <alignment horizontal="left" vertical="top"/>
    </xf>
    <xf numFmtId="0" fontId="20" fillId="0" borderId="3" xfId="0" applyFont="1" applyBorder="1" applyAlignment="1">
      <alignment horizontal="center" vertical="top"/>
    </xf>
    <xf numFmtId="0" fontId="50" fillId="0" borderId="3" xfId="0" applyFont="1" applyBorder="1" applyAlignment="1">
      <alignment horizontal="left" vertical="top" wrapText="1"/>
    </xf>
    <xf numFmtId="0" fontId="20" fillId="0" borderId="11"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left" vertical="top"/>
    </xf>
    <xf numFmtId="0" fontId="20" fillId="0" borderId="19" xfId="0" applyFont="1" applyBorder="1" applyAlignment="1">
      <alignment horizontal="center" vertical="top"/>
    </xf>
    <xf numFmtId="0" fontId="20" fillId="0" borderId="19" xfId="0" applyFont="1" applyBorder="1" applyAlignment="1">
      <alignment horizontal="center" vertical="center"/>
    </xf>
    <xf numFmtId="3" fontId="20" fillId="0" borderId="3" xfId="0" applyNumberFormat="1" applyFont="1" applyBorder="1" applyAlignment="1">
      <alignment horizontal="center" vertical="center"/>
    </xf>
    <xf numFmtId="0" fontId="14" fillId="0" borderId="0" xfId="0" applyFont="1" applyAlignment="1">
      <alignment vertical="top"/>
    </xf>
    <xf numFmtId="0" fontId="20" fillId="0" borderId="3" xfId="0" applyFont="1" applyBorder="1"/>
    <xf numFmtId="0" fontId="20" fillId="0" borderId="0" xfId="0" applyFont="1" applyAlignment="1">
      <alignment vertical="top"/>
    </xf>
    <xf numFmtId="3" fontId="14" fillId="0" borderId="0" xfId="0" applyNumberFormat="1" applyFont="1" applyAlignment="1">
      <alignment vertical="top"/>
    </xf>
    <xf numFmtId="3" fontId="20" fillId="0" borderId="0" xfId="0" applyNumberFormat="1" applyFont="1" applyAlignment="1">
      <alignment vertical="top"/>
    </xf>
    <xf numFmtId="0" fontId="18" fillId="0" borderId="11" xfId="0" applyFont="1" applyBorder="1" applyAlignment="1">
      <alignment horizontal="left" vertical="top"/>
    </xf>
    <xf numFmtId="3" fontId="18" fillId="0" borderId="0" xfId="0" applyNumberFormat="1" applyFont="1" applyAlignment="1">
      <alignment vertical="top"/>
    </xf>
    <xf numFmtId="1" fontId="18" fillId="0" borderId="3" xfId="0" applyNumberFormat="1" applyFont="1" applyBorder="1"/>
    <xf numFmtId="0" fontId="18" fillId="0" borderId="3" xfId="0" applyFont="1" applyBorder="1" applyAlignment="1">
      <alignment horizontal="center" vertical="center"/>
    </xf>
    <xf numFmtId="3" fontId="18" fillId="0" borderId="0" xfId="0" applyNumberFormat="1" applyFont="1" applyBorder="1" applyAlignment="1">
      <alignment horizontal="left" vertical="center"/>
    </xf>
    <xf numFmtId="1" fontId="18" fillId="0" borderId="3" xfId="0" applyNumberFormat="1" applyFont="1" applyBorder="1" applyAlignment="1">
      <alignment horizontal="center"/>
    </xf>
    <xf numFmtId="1" fontId="18" fillId="0" borderId="0" xfId="0" applyNumberFormat="1" applyFont="1" applyAlignment="1">
      <alignment vertical="top"/>
    </xf>
    <xf numFmtId="3" fontId="18" fillId="0" borderId="0" xfId="0" applyNumberFormat="1" applyFont="1"/>
    <xf numFmtId="49" fontId="13" fillId="4" borderId="7" xfId="0" applyNumberFormat="1" applyFont="1" applyFill="1" applyBorder="1" applyAlignment="1">
      <alignment horizontal="center" vertical="top" wrapText="1"/>
    </xf>
    <xf numFmtId="1" fontId="58" fillId="4" borderId="23" xfId="0" applyNumberFormat="1" applyFont="1" applyFill="1" applyBorder="1" applyAlignment="1">
      <alignment horizontal="center" vertical="top" wrapText="1"/>
    </xf>
    <xf numFmtId="0" fontId="58" fillId="0" borderId="24" xfId="0" applyFont="1" applyBorder="1" applyAlignment="1">
      <alignment horizontal="center" vertical="top" wrapText="1"/>
    </xf>
    <xf numFmtId="0" fontId="58" fillId="0" borderId="25" xfId="0" applyFont="1" applyBorder="1" applyAlignment="1">
      <alignment horizontal="center" vertical="top" wrapText="1"/>
    </xf>
    <xf numFmtId="1" fontId="58" fillId="4" borderId="92" xfId="0" applyNumberFormat="1" applyFont="1" applyFill="1" applyBorder="1" applyAlignment="1">
      <alignment horizontal="center" vertical="top" wrapText="1"/>
    </xf>
    <xf numFmtId="0" fontId="58" fillId="0" borderId="93" xfId="0" applyFont="1" applyBorder="1" applyAlignment="1">
      <alignment horizontal="center" vertical="top" wrapText="1"/>
    </xf>
    <xf numFmtId="0" fontId="58" fillId="0" borderId="91" xfId="0" applyFont="1" applyBorder="1" applyAlignment="1">
      <alignment horizontal="center" vertical="top" wrapText="1"/>
    </xf>
    <xf numFmtId="164" fontId="58" fillId="4" borderId="23" xfId="0" applyNumberFormat="1" applyFont="1" applyFill="1" applyBorder="1" applyAlignment="1">
      <alignment horizontal="center" vertical="top" wrapText="1"/>
    </xf>
    <xf numFmtId="164" fontId="58" fillId="4" borderId="30" xfId="0" applyNumberFormat="1" applyFont="1" applyFill="1" applyBorder="1" applyAlignment="1">
      <alignment horizontal="center" vertical="top" wrapText="1"/>
    </xf>
    <xf numFmtId="164" fontId="58" fillId="4" borderId="7" xfId="0" applyNumberFormat="1" applyFont="1" applyFill="1" applyBorder="1" applyAlignment="1">
      <alignment horizontal="center" vertical="top" wrapText="1"/>
    </xf>
    <xf numFmtId="164" fontId="58" fillId="4" borderId="10" xfId="0" applyNumberFormat="1" applyFont="1" applyFill="1" applyBorder="1" applyAlignment="1">
      <alignment horizontal="center" vertical="top" wrapText="1"/>
    </xf>
    <xf numFmtId="3" fontId="19" fillId="11" borderId="22" xfId="0" applyNumberFormat="1" applyFont="1" applyFill="1" applyBorder="1" applyAlignment="1" applyProtection="1">
      <alignment vertical="top"/>
      <protection locked="0"/>
    </xf>
    <xf numFmtId="3" fontId="19" fillId="11" borderId="2" xfId="0" applyNumberFormat="1" applyFont="1" applyFill="1" applyBorder="1" applyAlignment="1" applyProtection="1">
      <alignment vertical="top"/>
      <protection locked="0"/>
    </xf>
    <xf numFmtId="3" fontId="19" fillId="11" borderId="39" xfId="0" applyNumberFormat="1" applyFont="1" applyFill="1" applyBorder="1" applyAlignment="1" applyProtection="1">
      <alignment vertical="top"/>
      <protection locked="0"/>
    </xf>
    <xf numFmtId="3" fontId="19" fillId="11" borderId="14" xfId="0" applyNumberFormat="1" applyFont="1" applyFill="1" applyBorder="1" applyAlignment="1" applyProtection="1">
      <alignment vertical="top"/>
      <protection locked="0"/>
    </xf>
    <xf numFmtId="3" fontId="19" fillId="11" borderId="4" xfId="0" applyNumberFormat="1" applyFont="1" applyFill="1" applyBorder="1" applyAlignment="1" applyProtection="1">
      <alignment vertical="top"/>
      <protection locked="0"/>
    </xf>
    <xf numFmtId="3" fontId="19" fillId="11" borderId="5" xfId="0" applyNumberFormat="1" applyFont="1" applyFill="1" applyBorder="1" applyAlignment="1" applyProtection="1">
      <alignment vertical="top"/>
      <protection locked="0"/>
    </xf>
    <xf numFmtId="3" fontId="19" fillId="11" borderId="6" xfId="0" applyNumberFormat="1" applyFont="1" applyFill="1" applyBorder="1" applyAlignment="1" applyProtection="1">
      <alignment vertical="top"/>
      <protection locked="0"/>
    </xf>
    <xf numFmtId="0" fontId="18" fillId="11" borderId="1" xfId="0" applyFont="1" applyFill="1" applyBorder="1" applyAlignment="1" applyProtection="1">
      <alignment vertical="top"/>
      <protection locked="0"/>
    </xf>
    <xf numFmtId="0" fontId="18" fillId="11" borderId="14" xfId="0" applyFont="1" applyFill="1" applyBorder="1" applyAlignment="1" applyProtection="1">
      <alignment vertical="top"/>
      <protection locked="0"/>
    </xf>
    <xf numFmtId="3" fontId="19" fillId="11" borderId="13" xfId="0" applyNumberFormat="1" applyFont="1" applyFill="1" applyBorder="1" applyAlignment="1" applyProtection="1">
      <alignment vertical="top"/>
      <protection locked="0"/>
    </xf>
    <xf numFmtId="3" fontId="19" fillId="11" borderId="3" xfId="0" applyNumberFormat="1" applyFont="1" applyFill="1" applyBorder="1" applyAlignment="1" applyProtection="1">
      <alignment vertical="top"/>
      <protection locked="0"/>
    </xf>
    <xf numFmtId="3" fontId="19" fillId="11" borderId="12" xfId="0" applyNumberFormat="1" applyFont="1" applyFill="1" applyBorder="1" applyAlignment="1" applyProtection="1">
      <alignment vertical="top"/>
      <protection locked="0"/>
    </xf>
    <xf numFmtId="4" fontId="19" fillId="11" borderId="2" xfId="0" applyNumberFormat="1" applyFont="1" applyFill="1" applyBorder="1" applyAlignment="1" applyProtection="1">
      <alignment vertical="top"/>
      <protection locked="0"/>
    </xf>
    <xf numFmtId="3" fontId="19" fillId="11" borderId="20" xfId="0" applyNumberFormat="1" applyFont="1" applyFill="1" applyBorder="1" applyAlignment="1" applyProtection="1">
      <alignment vertical="top"/>
      <protection locked="0"/>
    </xf>
    <xf numFmtId="3" fontId="19" fillId="11" borderId="11" xfId="0" applyNumberFormat="1" applyFont="1" applyFill="1" applyBorder="1" applyAlignment="1" applyProtection="1">
      <alignment vertical="top"/>
      <protection locked="0"/>
    </xf>
    <xf numFmtId="3" fontId="19" fillId="11" borderId="26" xfId="0" applyNumberFormat="1" applyFont="1" applyFill="1" applyBorder="1" applyAlignment="1" applyProtection="1">
      <alignment vertical="top"/>
      <protection locked="0"/>
    </xf>
    <xf numFmtId="3" fontId="19" fillId="11" borderId="13" xfId="0" applyNumberFormat="1" applyFont="1" applyFill="1" applyBorder="1" applyAlignment="1" applyProtection="1">
      <alignment horizontal="right" vertical="top"/>
      <protection locked="0"/>
    </xf>
    <xf numFmtId="3" fontId="19" fillId="11" borderId="3" xfId="0" applyNumberFormat="1" applyFont="1" applyFill="1" applyBorder="1" applyAlignment="1" applyProtection="1">
      <alignment horizontal="right" vertical="top"/>
      <protection locked="0"/>
    </xf>
    <xf numFmtId="3" fontId="19" fillId="11" borderId="12" xfId="0" applyNumberFormat="1" applyFont="1" applyFill="1" applyBorder="1" applyAlignment="1" applyProtection="1">
      <alignment horizontal="right" vertical="top"/>
      <protection locked="0"/>
    </xf>
    <xf numFmtId="3" fontId="19" fillId="11" borderId="11" xfId="0" applyNumberFormat="1" applyFont="1" applyFill="1" applyBorder="1" applyAlignment="1" applyProtection="1">
      <alignment horizontal="right" vertical="top"/>
      <protection locked="0"/>
    </xf>
    <xf numFmtId="0" fontId="13" fillId="0" borderId="0" xfId="0" applyFont="1" applyAlignment="1">
      <alignment vertical="top"/>
    </xf>
    <xf numFmtId="0" fontId="15" fillId="0" borderId="0" xfId="0" applyFont="1" applyAlignment="1">
      <alignment vertical="top"/>
    </xf>
    <xf numFmtId="0" fontId="18" fillId="0" borderId="0" xfId="0" applyFont="1" applyAlignment="1">
      <alignment horizontal="left" vertical="top"/>
    </xf>
    <xf numFmtId="3" fontId="18" fillId="0" borderId="4" xfId="0" applyNumberFormat="1"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0" fontId="18" fillId="0" borderId="4" xfId="0" applyFont="1" applyBorder="1" applyAlignment="1">
      <alignment vertical="top"/>
    </xf>
    <xf numFmtId="3" fontId="18" fillId="0" borderId="18" xfId="0" applyNumberFormat="1" applyFont="1" applyBorder="1" applyAlignment="1">
      <alignment vertical="top"/>
    </xf>
    <xf numFmtId="3" fontId="18" fillId="0" borderId="16" xfId="0" applyNumberFormat="1" applyFont="1" applyBorder="1" applyAlignment="1">
      <alignment vertical="top"/>
    </xf>
    <xf numFmtId="3" fontId="18" fillId="0" borderId="15" xfId="0" applyNumberFormat="1" applyFont="1" applyBorder="1" applyAlignment="1">
      <alignment vertical="top"/>
    </xf>
    <xf numFmtId="3" fontId="18" fillId="0" borderId="5" xfId="0" applyNumberFormat="1" applyFont="1" applyBorder="1" applyAlignment="1">
      <alignment vertical="top"/>
    </xf>
    <xf numFmtId="3" fontId="18" fillId="0" borderId="6" xfId="0" applyNumberFormat="1" applyFont="1" applyBorder="1" applyAlignment="1">
      <alignment vertical="top"/>
    </xf>
    <xf numFmtId="3" fontId="18" fillId="0" borderId="52" xfId="0" applyNumberFormat="1" applyFont="1" applyBorder="1" applyAlignment="1">
      <alignment vertical="top"/>
    </xf>
    <xf numFmtId="3" fontId="18" fillId="0" borderId="72" xfId="0" applyNumberFormat="1" applyFont="1" applyBorder="1" applyAlignment="1">
      <alignment vertical="top"/>
    </xf>
    <xf numFmtId="3" fontId="18" fillId="11" borderId="4" xfId="0" applyNumberFormat="1" applyFont="1" applyFill="1" applyBorder="1" applyAlignment="1">
      <alignment vertical="top"/>
    </xf>
    <xf numFmtId="0" fontId="18" fillId="11" borderId="5" xfId="0" applyFont="1" applyFill="1" applyBorder="1" applyAlignment="1">
      <alignment vertical="top"/>
    </xf>
    <xf numFmtId="0" fontId="18" fillId="11" borderId="6" xfId="0" applyFont="1" applyFill="1" applyBorder="1" applyAlignment="1">
      <alignment vertical="top"/>
    </xf>
    <xf numFmtId="0" fontId="18" fillId="11" borderId="4" xfId="0" applyFont="1" applyFill="1" applyBorder="1" applyAlignment="1">
      <alignment vertical="top"/>
    </xf>
    <xf numFmtId="3" fontId="18" fillId="11" borderId="18" xfId="0" applyNumberFormat="1" applyFont="1" applyFill="1" applyBorder="1" applyAlignment="1">
      <alignment vertical="top"/>
    </xf>
    <xf numFmtId="3" fontId="18" fillId="11" borderId="16" xfId="0" applyNumberFormat="1" applyFont="1" applyFill="1" applyBorder="1" applyAlignment="1">
      <alignment vertical="top"/>
    </xf>
    <xf numFmtId="3" fontId="18" fillId="11" borderId="15" xfId="0" applyNumberFormat="1" applyFont="1" applyFill="1" applyBorder="1" applyAlignment="1">
      <alignment vertical="top"/>
    </xf>
    <xf numFmtId="0" fontId="18" fillId="11" borderId="0" xfId="0" applyFont="1" applyFill="1" applyAlignment="1">
      <alignment vertical="top"/>
    </xf>
    <xf numFmtId="3" fontId="18" fillId="11" borderId="5" xfId="0" applyNumberFormat="1" applyFont="1" applyFill="1" applyBorder="1" applyAlignment="1">
      <alignment vertical="top"/>
    </xf>
    <xf numFmtId="3" fontId="18" fillId="11" borderId="6" xfId="0" applyNumberFormat="1" applyFont="1" applyFill="1" applyBorder="1" applyAlignment="1">
      <alignment vertical="top"/>
    </xf>
    <xf numFmtId="0" fontId="18" fillId="11" borderId="0" xfId="0" applyFont="1" applyFill="1" applyAlignment="1" applyProtection="1">
      <alignment horizontal="left" vertical="top" wrapText="1"/>
      <protection locked="0"/>
    </xf>
    <xf numFmtId="3" fontId="18" fillId="11" borderId="0" xfId="0" applyNumberFormat="1" applyFont="1" applyFill="1" applyAlignment="1">
      <alignment vertical="top"/>
    </xf>
    <xf numFmtId="3" fontId="18" fillId="11" borderId="33" xfId="0" applyNumberFormat="1" applyFont="1" applyFill="1" applyBorder="1" applyAlignment="1">
      <alignment vertical="top"/>
    </xf>
    <xf numFmtId="3" fontId="18" fillId="11" borderId="52" xfId="0" applyNumberFormat="1" applyFont="1" applyFill="1" applyBorder="1" applyAlignment="1">
      <alignment vertical="top"/>
    </xf>
    <xf numFmtId="3" fontId="18" fillId="11" borderId="72" xfId="0" applyNumberFormat="1" applyFont="1" applyFill="1" applyBorder="1" applyAlignment="1">
      <alignment vertical="top"/>
    </xf>
    <xf numFmtId="3" fontId="18" fillId="13" borderId="4" xfId="0" applyNumberFormat="1" applyFont="1" applyFill="1" applyBorder="1" applyAlignment="1">
      <alignment vertical="top"/>
    </xf>
    <xf numFmtId="0" fontId="18" fillId="13" borderId="5" xfId="0" applyFont="1" applyFill="1" applyBorder="1" applyAlignment="1">
      <alignment vertical="top"/>
    </xf>
    <xf numFmtId="0" fontId="18" fillId="13" borderId="6" xfId="0" applyFont="1" applyFill="1" applyBorder="1" applyAlignment="1">
      <alignment vertical="top"/>
    </xf>
    <xf numFmtId="0" fontId="18" fillId="13" borderId="52" xfId="0" applyFont="1" applyFill="1" applyBorder="1" applyAlignment="1">
      <alignment vertical="top"/>
    </xf>
    <xf numFmtId="3" fontId="18" fillId="13" borderId="18" xfId="0" applyNumberFormat="1" applyFont="1" applyFill="1" applyBorder="1" applyAlignment="1">
      <alignment vertical="top"/>
    </xf>
    <xf numFmtId="3" fontId="18" fillId="13" borderId="16" xfId="0" applyNumberFormat="1" applyFont="1" applyFill="1" applyBorder="1" applyAlignment="1">
      <alignment vertical="top"/>
    </xf>
    <xf numFmtId="3" fontId="18" fillId="13" borderId="15" xfId="0" applyNumberFormat="1" applyFont="1" applyFill="1" applyBorder="1" applyAlignment="1">
      <alignment vertical="top"/>
    </xf>
    <xf numFmtId="3" fontId="18" fillId="13" borderId="72" xfId="0" applyNumberFormat="1" applyFont="1" applyFill="1" applyBorder="1" applyAlignment="1">
      <alignment vertical="top"/>
    </xf>
    <xf numFmtId="0" fontId="18" fillId="13" borderId="0" xfId="0" applyFont="1" applyFill="1" applyAlignment="1">
      <alignment vertical="top"/>
    </xf>
    <xf numFmtId="3" fontId="18" fillId="13" borderId="5" xfId="0" applyNumberFormat="1" applyFont="1" applyFill="1" applyBorder="1" applyAlignment="1">
      <alignment vertical="top"/>
    </xf>
    <xf numFmtId="3" fontId="18" fillId="13" borderId="6" xfId="0" applyNumberFormat="1" applyFont="1" applyFill="1" applyBorder="1" applyAlignment="1">
      <alignment vertical="top"/>
    </xf>
    <xf numFmtId="3" fontId="18" fillId="13" borderId="52" xfId="0" applyNumberFormat="1" applyFont="1" applyFill="1" applyBorder="1" applyAlignment="1">
      <alignment vertical="top"/>
    </xf>
    <xf numFmtId="3" fontId="18" fillId="13" borderId="0" xfId="0" applyNumberFormat="1" applyFont="1" applyFill="1" applyAlignment="1">
      <alignment vertical="top"/>
    </xf>
  </cellXfs>
  <cellStyles count="2">
    <cellStyle name="Hea" xfId="1" builtinId="26"/>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29518955</c:v>
                </c:pt>
                <c:pt idx="1">
                  <c:v>11585489</c:v>
                </c:pt>
                <c:pt idx="2">
                  <c:v>7265564</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23814308</c:v>
                </c:pt>
                <c:pt idx="1">
                  <c:v>6779339</c:v>
                </c:pt>
                <c:pt idx="2">
                  <c:v>6017078</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arvutused'!$C$21:$C$24</c:f>
              <c:numCache>
                <c:formatCode>#,##0</c:formatCode>
                <c:ptCount val="4"/>
                <c:pt idx="0">
                  <c:v>21811783</c:v>
                </c:pt>
                <c:pt idx="1">
                  <c:v>14122519</c:v>
                </c:pt>
                <c:pt idx="2">
                  <c:v>12435706</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arvutused'!$D$21:$D$24</c:f>
              <c:numCache>
                <c:formatCode>#,##0</c:formatCode>
                <c:ptCount val="4"/>
                <c:pt idx="0">
                  <c:v>14138453</c:v>
                </c:pt>
                <c:pt idx="1">
                  <c:v>12216619</c:v>
                </c:pt>
                <c:pt idx="2">
                  <c:v>10255653</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Andmeait</c:v>
                </c:pt>
                <c:pt idx="1">
                  <c:v>Andmeanalüüs ja -seire</c:v>
                </c:pt>
                <c:pt idx="2">
                  <c:v>IT - andmeturve</c:v>
                </c:pt>
                <c:pt idx="3">
                  <c:v>IT-arvutigraafika</c:v>
                </c:pt>
                <c:pt idx="4">
                  <c:v>IT - juhtimine</c:v>
                </c:pt>
                <c:pt idx="5">
                  <c:v>IT - konsultandid</c:v>
                </c:pt>
                <c:pt idx="6">
                  <c:v>IT - projektijuhtimine</c:v>
                </c:pt>
                <c:pt idx="7">
                  <c:v>IT - süsteemiadministratsioon</c:v>
                </c:pt>
                <c:pt idx="8">
                  <c:v>IT - süsteemianalüüs</c:v>
                </c:pt>
                <c:pt idx="9">
                  <c:v>IT - süsteemiarhitektuur</c:v>
                </c:pt>
                <c:pt idx="10">
                  <c:v>IT - tarkvara programmeerimine</c:v>
                </c:pt>
              </c:strCache>
            </c:strRef>
          </c:cat>
          <c:val>
            <c:numRef>
              <c:f>'Ettekande arvutused'!$F$72:$F$82</c:f>
              <c:numCache>
                <c:formatCode>#,##0</c:formatCode>
                <c:ptCount val="11"/>
                <c:pt idx="0">
                  <c:v>4</c:v>
                </c:pt>
                <c:pt idx="1">
                  <c:v>7</c:v>
                </c:pt>
                <c:pt idx="2">
                  <c:v>7</c:v>
                </c:pt>
                <c:pt idx="4">
                  <c:v>21</c:v>
                </c:pt>
                <c:pt idx="5">
                  <c:v>1</c:v>
                </c:pt>
                <c:pt idx="6">
                  <c:v>28</c:v>
                </c:pt>
                <c:pt idx="7">
                  <c:v>51</c:v>
                </c:pt>
                <c:pt idx="8">
                  <c:v>20</c:v>
                </c:pt>
                <c:pt idx="9">
                  <c:v>10</c:v>
                </c:pt>
                <c:pt idx="10">
                  <c:v>4</c:v>
                </c:pt>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Andmeait</c:v>
                </c:pt>
                <c:pt idx="1">
                  <c:v>Andmeanalüüs ja -seire</c:v>
                </c:pt>
                <c:pt idx="2">
                  <c:v>IT - andmeturve</c:v>
                </c:pt>
                <c:pt idx="3">
                  <c:v>IT-arvutigraafika</c:v>
                </c:pt>
                <c:pt idx="4">
                  <c:v>IT - juhtimine</c:v>
                </c:pt>
                <c:pt idx="5">
                  <c:v>IT - konsultandid</c:v>
                </c:pt>
                <c:pt idx="6">
                  <c:v>IT - projektijuhtimine</c:v>
                </c:pt>
                <c:pt idx="7">
                  <c:v>IT - süsteemiadministratsioon</c:v>
                </c:pt>
                <c:pt idx="8">
                  <c:v>IT - süsteemianalüüs</c:v>
                </c:pt>
                <c:pt idx="9">
                  <c:v>IT - süsteemiarhitektuur</c:v>
                </c:pt>
                <c:pt idx="10">
                  <c:v>IT - tarkvara programmeerimine</c:v>
                </c:pt>
              </c:strCache>
            </c:strRef>
          </c:cat>
          <c:val>
            <c:numRef>
              <c:f>'Ettekande arvutused'!$G$72:$G$82</c:f>
              <c:numCache>
                <c:formatCode>#,##0</c:formatCode>
                <c:ptCount val="11"/>
                <c:pt idx="0">
                  <c:v>1</c:v>
                </c:pt>
                <c:pt idx="1">
                  <c:v>1</c:v>
                </c:pt>
                <c:pt idx="2">
                  <c:v>1</c:v>
                </c:pt>
                <c:pt idx="4">
                  <c:v>1</c:v>
                </c:pt>
                <c:pt idx="6">
                  <c:v>4</c:v>
                </c:pt>
                <c:pt idx="7">
                  <c:v>3</c:v>
                </c:pt>
                <c:pt idx="9">
                  <c:v>3</c:v>
                </c:pt>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28053767</c:v>
                </c:pt>
                <c:pt idx="1">
                  <c:v>9915235</c:v>
                </c:pt>
                <c:pt idx="2">
                  <c:v>10198692</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22103253</c:v>
                </c:pt>
                <c:pt idx="1">
                  <c:v>12925937</c:v>
                </c:pt>
                <c:pt idx="2">
                  <c:v>13138504</c:v>
                </c:pt>
                <c:pt idx="3">
                  <c:v>8</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arvutused'!$C$69:$E$69</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721-45B4-94C4-2322D6737F9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arvutused'!$C$70:$E$70</c:f>
              <c:strCache>
                <c:ptCount val="3"/>
                <c:pt idx="0">
                  <c:v>Täidetud/olemas</c:v>
                </c:pt>
                <c:pt idx="1">
                  <c:v>Täitmata</c:v>
                </c:pt>
                <c:pt idx="2">
                  <c:v>Kokku</c:v>
                </c:pt>
              </c:strCache>
            </c:strRef>
          </c:cat>
          <c:val>
            <c:numRef>
              <c:f>'Ettekande arvutused'!$C$71:$E$71</c:f>
              <c:numCache>
                <c:formatCode>#,##0</c:formatCode>
                <c:ptCount val="3"/>
                <c:pt idx="0">
                  <c:v>183</c:v>
                </c:pt>
                <c:pt idx="1">
                  <c:v>26</c:v>
                </c:pt>
                <c:pt idx="2">
                  <c:v>207</c:v>
                </c:pt>
              </c:numCache>
            </c:numRef>
          </c:val>
          <c:extLs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arvutused'!$F$70:$H$70</c:f>
              <c:strCache>
                <c:ptCount val="3"/>
                <c:pt idx="0">
                  <c:v>Täidetud/olemas</c:v>
                </c:pt>
                <c:pt idx="1">
                  <c:v>Täitmata</c:v>
                </c:pt>
                <c:pt idx="2">
                  <c:v>Kokku</c:v>
                </c:pt>
              </c:strCache>
            </c:strRef>
          </c:cat>
          <c:val>
            <c:numRef>
              <c:f>'Ettekande arvutused'!$F$71:$H$71</c:f>
              <c:numCache>
                <c:formatCode>#,##0</c:formatCode>
                <c:ptCount val="3"/>
                <c:pt idx="0">
                  <c:v>204</c:v>
                </c:pt>
                <c:pt idx="1">
                  <c:v>17</c:v>
                </c:pt>
                <c:pt idx="2">
                  <c:v>221</c:v>
                </c:pt>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0">
                  <c:v>124</c:v>
                </c:pt>
                <c:pt idx="1">
                  <c:v>157</c:v>
                </c:pt>
                <c:pt idx="2">
                  <c:v>182</c:v>
                </c:pt>
                <c:pt idx="3">
                  <c:v>204</c:v>
                </c:pt>
                <c:pt idx="4">
                  <c:v>220</c:v>
                </c:pt>
                <c:pt idx="5">
                  <c:v>225</c:v>
                </c:pt>
                <c:pt idx="6">
                  <c:v>230</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26.612903225806448</c:v>
                </c:pt>
                <c:pt idx="2">
                  <c:v>15.923566878980893</c:v>
                </c:pt>
                <c:pt idx="3">
                  <c:v>12.087912087912088</c:v>
                </c:pt>
                <c:pt idx="4">
                  <c:v>7.8431372549019613</c:v>
                </c:pt>
                <c:pt idx="5">
                  <c:v>2.2727272727272663</c:v>
                </c:pt>
                <c:pt idx="6">
                  <c:v>2.2222222222222143</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in val="10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227339</xdr:colOff>
      <xdr:row>67</xdr:row>
      <xdr:rowOff>93102</xdr:rowOff>
    </xdr:from>
    <xdr:to>
      <xdr:col>24</xdr:col>
      <xdr:colOff>502771</xdr:colOff>
      <xdr:row>86</xdr:row>
      <xdr:rowOff>104215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67</xdr:row>
      <xdr:rowOff>17463</xdr:rowOff>
    </xdr:from>
    <xdr:to>
      <xdr:col>14</xdr:col>
      <xdr:colOff>281780</xdr:colOff>
      <xdr:row>80</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80</xdr:row>
      <xdr:rowOff>17463</xdr:rowOff>
    </xdr:from>
    <xdr:to>
      <xdr:col>14</xdr:col>
      <xdr:colOff>257968</xdr:colOff>
      <xdr:row>94</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266700</xdr:colOff>
      <xdr:row>49</xdr:row>
      <xdr:rowOff>47625</xdr:rowOff>
    </xdr:from>
    <xdr:to>
      <xdr:col>21</xdr:col>
      <xdr:colOff>257175</xdr:colOff>
      <xdr:row>64</xdr:row>
      <xdr:rowOff>9525</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filterMode="1">
    <tabColor theme="8" tint="0.59999389629810485"/>
  </sheetPr>
  <dimension ref="A1:AS205"/>
  <sheetViews>
    <sheetView tabSelected="1" topLeftCell="M59" zoomScale="80" zoomScaleNormal="80" workbookViewId="0">
      <selection activeCell="AG61" sqref="AG61"/>
    </sheetView>
  </sheetViews>
  <sheetFormatPr defaultColWidth="8.6328125" defaultRowHeight="14.5" x14ac:dyDescent="0.35"/>
  <cols>
    <col min="1" max="1" width="21.36328125" style="234" customWidth="1"/>
    <col min="2" max="2" width="15" style="234" customWidth="1"/>
    <col min="3" max="3" width="13.6328125" style="234" customWidth="1"/>
    <col min="4" max="4" width="14.08984375" style="234" customWidth="1"/>
    <col min="5" max="5" width="16.6328125" style="234" customWidth="1"/>
    <col min="6" max="6" width="18.453125" style="234" customWidth="1"/>
    <col min="7" max="7" width="14.08984375" style="234" customWidth="1"/>
    <col min="8" max="8" width="12.90625" style="234" customWidth="1"/>
    <col min="9" max="9" width="34.08984375" style="234" customWidth="1"/>
    <col min="10" max="10" width="25.36328125" style="752" customWidth="1"/>
    <col min="11" max="11" width="46.6328125" style="234" customWidth="1"/>
    <col min="12" max="12" width="12" style="234" customWidth="1"/>
    <col min="13" max="13" width="14.36328125" style="234" customWidth="1"/>
    <col min="14" max="14" width="12.36328125" style="234" customWidth="1"/>
    <col min="15" max="15" width="8.6328125" style="234"/>
    <col min="16" max="16" width="14.90625" style="1" hidden="1" customWidth="1"/>
    <col min="17" max="22" width="13.08984375" style="1" hidden="1" customWidth="1"/>
    <col min="23" max="23" width="11.08984375" style="1" hidden="1" customWidth="1"/>
    <col min="24" max="25" width="10.08984375" style="1" hidden="1" customWidth="1"/>
    <col min="26" max="26" width="10.36328125" style="234" bestFit="1" customWidth="1"/>
    <col min="27" max="27" width="10.90625" style="234" customWidth="1"/>
    <col min="28" max="28" width="11.08984375" style="234" customWidth="1"/>
    <col min="29" max="29" width="10.08984375" style="234" customWidth="1"/>
    <col min="30" max="30" width="11.453125" style="234" customWidth="1"/>
    <col min="31" max="31" width="11.08984375" style="234" customWidth="1"/>
    <col min="32" max="40" width="10.08984375" style="234" customWidth="1"/>
    <col min="41" max="41" width="40.36328125" style="234" customWidth="1"/>
    <col min="42" max="42" width="37" style="234" customWidth="1"/>
    <col min="43" max="43" width="60.6328125" style="234" bestFit="1" customWidth="1"/>
    <col min="44" max="44" width="48.453125" style="234" customWidth="1"/>
    <col min="45" max="45" width="23.36328125" style="234" customWidth="1"/>
    <col min="46" max="16384" width="8.6328125" style="234"/>
  </cols>
  <sheetData>
    <row r="1" spans="1:13" s="1" customFormat="1" hidden="1" x14ac:dyDescent="0.35">
      <c r="A1" s="5" t="s">
        <v>0</v>
      </c>
      <c r="B1" s="225"/>
      <c r="C1" s="226"/>
      <c r="D1" s="226"/>
      <c r="E1" s="226"/>
      <c r="F1" s="8"/>
      <c r="G1" s="226"/>
      <c r="H1" s="349"/>
      <c r="I1" s="8"/>
      <c r="J1" s="3"/>
    </row>
    <row r="2" spans="1:13" s="1" customFormat="1" ht="30.75" hidden="1" customHeight="1" x14ac:dyDescent="0.35">
      <c r="A2" s="199" t="s">
        <v>1</v>
      </c>
      <c r="B2" s="602" t="s">
        <v>2</v>
      </c>
      <c r="C2" s="603"/>
      <c r="D2" s="603"/>
      <c r="E2" s="604"/>
      <c r="F2" s="8"/>
      <c r="G2" s="602" t="s">
        <v>3</v>
      </c>
      <c r="H2" s="603"/>
      <c r="I2" s="603"/>
      <c r="J2" s="603"/>
      <c r="K2" s="604"/>
    </row>
    <row r="3" spans="1:13" s="1" customFormat="1" ht="65" hidden="1" x14ac:dyDescent="0.35">
      <c r="A3" s="220" t="s">
        <v>4</v>
      </c>
      <c r="B3" s="221" t="s">
        <v>5</v>
      </c>
      <c r="C3" s="222">
        <v>2023</v>
      </c>
      <c r="D3" s="222">
        <v>2024</v>
      </c>
      <c r="E3" s="222">
        <v>2025</v>
      </c>
      <c r="F3" s="8"/>
      <c r="G3" s="5" t="s">
        <v>6</v>
      </c>
      <c r="H3" s="227" t="s">
        <v>7</v>
      </c>
      <c r="I3" s="228" t="s">
        <v>8</v>
      </c>
      <c r="J3" s="229" t="s">
        <v>9</v>
      </c>
      <c r="K3" s="229" t="s">
        <v>10</v>
      </c>
      <c r="L3" s="8"/>
      <c r="M3" s="3"/>
    </row>
    <row r="4" spans="1:13" s="1" customFormat="1" hidden="1" x14ac:dyDescent="0.35">
      <c r="A4" s="223" t="s">
        <v>11</v>
      </c>
      <c r="B4" s="9">
        <f>SUM(C4:E4)</f>
        <v>33169851.609999999</v>
      </c>
      <c r="C4" s="9">
        <f>SUM(C5+C12)</f>
        <v>2104115</v>
      </c>
      <c r="D4" s="9">
        <f>SUM(D5+D12)</f>
        <v>15725261.5</v>
      </c>
      <c r="E4" s="9">
        <f>SUM(E5+E12)</f>
        <v>15340475.109999999</v>
      </c>
      <c r="F4" s="8"/>
      <c r="G4" s="9">
        <f>SUM(H4:K4)</f>
        <v>39385286.819918752</v>
      </c>
      <c r="H4" s="230">
        <f>SUMIFS(P35:P74,G35:G74,$G$77)</f>
        <v>10574244</v>
      </c>
      <c r="I4" s="231">
        <f>SUMIFS(P35:P74,G35:G74,$G$78)</f>
        <v>2392700</v>
      </c>
      <c r="J4" s="231">
        <f>SUMIFS(P35:P74,G35:G74,$G$79)</f>
        <v>1044353.0753250001</v>
      </c>
      <c r="K4" s="231">
        <f>SUMIFS(P35:P74,G35:G74,$G$80)</f>
        <v>25373989.744593751</v>
      </c>
      <c r="L4" s="8"/>
      <c r="M4" s="4"/>
    </row>
    <row r="5" spans="1:13" s="1" customFormat="1" hidden="1" x14ac:dyDescent="0.35">
      <c r="A5" s="223" t="s">
        <v>12</v>
      </c>
      <c r="B5" s="9">
        <f>SUM(C5:E5)</f>
        <v>18529082.259999998</v>
      </c>
      <c r="C5" s="9">
        <f>SUM(C6:C11)</f>
        <v>2085469</v>
      </c>
      <c r="D5" s="9">
        <f>SUM(D6:D11)</f>
        <v>11992048.5</v>
      </c>
      <c r="E5" s="9">
        <f>SUM(E6:E11)</f>
        <v>4451564.76</v>
      </c>
      <c r="F5" s="8"/>
      <c r="G5" s="8"/>
      <c r="J5" s="8"/>
      <c r="K5" s="4"/>
    </row>
    <row r="6" spans="1:13" s="1" customFormat="1" hidden="1" x14ac:dyDescent="0.35">
      <c r="A6" s="224" t="s">
        <v>13</v>
      </c>
      <c r="B6" s="17">
        <f>SUM(C6:E6)</f>
        <v>3700000</v>
      </c>
      <c r="C6" s="18">
        <f>SUMIFS(Q35:Q74,O35:O74,"Baaseelarve")</f>
        <v>0</v>
      </c>
      <c r="D6" s="18">
        <f>SUMIFS(R35:R74,O35:O74,"Baaseelarve")</f>
        <v>3700000</v>
      </c>
      <c r="E6" s="18">
        <f>SUMIFS(S35:S74,O35:O74,"Baaseelarve")</f>
        <v>0</v>
      </c>
      <c r="F6" s="10"/>
      <c r="G6" s="8"/>
      <c r="H6" s="8"/>
      <c r="I6" s="8"/>
      <c r="J6" s="8"/>
      <c r="K6" s="4"/>
    </row>
    <row r="7" spans="1:13" s="1" customFormat="1" hidden="1" x14ac:dyDescent="0.35">
      <c r="A7" s="224" t="s">
        <v>14</v>
      </c>
      <c r="B7" s="17">
        <f>SUM(C7:E7)</f>
        <v>14829082.26</v>
      </c>
      <c r="C7" s="18">
        <f>SUMIFS(Q35:Q74,O35:O74,"Muu rahastus")</f>
        <v>2085469</v>
      </c>
      <c r="D7" s="18">
        <f>SUMIFS(R35:R74,O35:O74,"Muu rahastus")</f>
        <v>8292048.5</v>
      </c>
      <c r="E7" s="18">
        <f>SUMIFS(S35:S74,O35:O74,"Muu rahastus")</f>
        <v>4451564.76</v>
      </c>
      <c r="F7" s="10"/>
      <c r="G7" s="8"/>
      <c r="H7" s="8"/>
      <c r="I7" s="8"/>
      <c r="J7" s="8"/>
      <c r="K7" s="4"/>
    </row>
    <row r="8" spans="1:13" s="1" customFormat="1" hidden="1" x14ac:dyDescent="0.35">
      <c r="A8" s="224" t="s">
        <v>15</v>
      </c>
      <c r="B8" s="17">
        <f>SUM(C8:E8)</f>
        <v>0</v>
      </c>
      <c r="C8" s="18">
        <f>SUMIFS(Q35:Q74,O35:O74,"Reserv (SR)")</f>
        <v>0</v>
      </c>
      <c r="D8" s="18">
        <f>SUMIFS(R35:R74,O35:O74,"Reserv (SR)")</f>
        <v>0</v>
      </c>
      <c r="E8" s="18">
        <f>SUMIFS(S35:S74,O35:O74,"Reserv (SR)")</f>
        <v>0</v>
      </c>
      <c r="F8" s="10"/>
      <c r="G8" s="8"/>
      <c r="H8" s="8"/>
      <c r="I8" s="8"/>
      <c r="J8" s="8"/>
      <c r="K8" s="4"/>
    </row>
    <row r="9" spans="1:13" s="1" customFormat="1" hidden="1" x14ac:dyDescent="0.35">
      <c r="A9" s="224" t="s">
        <v>16</v>
      </c>
      <c r="B9" s="17">
        <f t="shared" ref="B9" si="0">SUM(C9:D9)</f>
        <v>0</v>
      </c>
      <c r="C9" s="18">
        <f>SUMIFS(Q35:Q74,O35:O74,"RRF")</f>
        <v>0</v>
      </c>
      <c r="D9" s="18">
        <f>SUMIFS(R35:R74,O35:O74,"RRF")</f>
        <v>0</v>
      </c>
      <c r="E9" s="18"/>
      <c r="F9" s="10"/>
      <c r="G9" s="8"/>
      <c r="H9" s="8"/>
      <c r="I9" s="8"/>
      <c r="J9" s="8"/>
      <c r="K9" s="4"/>
    </row>
    <row r="10" spans="1:13" s="1" customFormat="1" hidden="1" x14ac:dyDescent="0.35">
      <c r="A10" s="224" t="s">
        <v>17</v>
      </c>
      <c r="B10" s="17">
        <f>SUM(C10:E10)</f>
        <v>0</v>
      </c>
      <c r="C10" s="18">
        <f>SUMIFS(Q35:Q74,O35:O74,"SF 14-20 (töös olev projekt)")</f>
        <v>0</v>
      </c>
      <c r="D10" s="18">
        <f>SUMIFS(R35:R74,O35:O74,"SF 14-20 (töös olev projekt)")</f>
        <v>0</v>
      </c>
      <c r="E10" s="18">
        <f>SUMIFS(S35:S74,O35:O74,"SF 14-20 (töös olev projekt)")</f>
        <v>0</v>
      </c>
      <c r="F10" s="10"/>
      <c r="G10" s="8"/>
      <c r="H10" s="8"/>
      <c r="I10" s="8"/>
      <c r="J10" s="8"/>
      <c r="K10" s="4"/>
    </row>
    <row r="11" spans="1:13" s="1" customFormat="1" hidden="1" x14ac:dyDescent="0.35">
      <c r="A11" s="224" t="s">
        <v>18</v>
      </c>
      <c r="B11" s="17">
        <f>SUM(C11:E11)</f>
        <v>0</v>
      </c>
      <c r="C11" s="18">
        <f>SUMIFS(Q35:Q74,O35:O74,"RRF")</f>
        <v>0</v>
      </c>
      <c r="D11" s="18">
        <f>SUMIFS(R35:R74,O35:O74,"RRF")</f>
        <v>0</v>
      </c>
      <c r="E11" s="18">
        <f>SUMIFS(S35:S74,O35:O74,"RRF")</f>
        <v>0</v>
      </c>
      <c r="F11" s="10"/>
      <c r="G11" s="8"/>
      <c r="H11" s="8"/>
      <c r="I11" s="8"/>
      <c r="J11" s="8"/>
      <c r="K11" s="4"/>
    </row>
    <row r="12" spans="1:13" s="1" customFormat="1" hidden="1" x14ac:dyDescent="0.35">
      <c r="A12" s="223" t="s">
        <v>19</v>
      </c>
      <c r="B12" s="9">
        <f>SUM(C12:E12)</f>
        <v>14640769.35</v>
      </c>
      <c r="C12" s="9">
        <f>SUM(C13:C14)</f>
        <v>18646</v>
      </c>
      <c r="D12" s="9">
        <f>SUM(D13:D14)</f>
        <v>3733213</v>
      </c>
      <c r="E12" s="9">
        <f>SUM(E13:E14)</f>
        <v>10888910.35</v>
      </c>
      <c r="F12" s="10"/>
      <c r="G12" s="8"/>
      <c r="H12" s="8"/>
      <c r="I12" s="8"/>
      <c r="J12" s="8"/>
      <c r="K12" s="4"/>
    </row>
    <row r="13" spans="1:13" s="1" customFormat="1" hidden="1" x14ac:dyDescent="0.35">
      <c r="A13" s="224" t="s">
        <v>20</v>
      </c>
      <c r="B13" s="17">
        <f>SUM(C13:E13)</f>
        <v>5475223</v>
      </c>
      <c r="C13" s="18">
        <f>SUMIFS(Q35:Q74,O35:O74,"RES IKT (vaja juurde taotleda)")</f>
        <v>0</v>
      </c>
      <c r="D13" s="18">
        <f>SUMIFS(R35:R74,O35:O74,"RES IKT (vaja juurde taotleda)")</f>
        <v>0</v>
      </c>
      <c r="E13" s="18">
        <f>SUMIFS(S35:S74,O35:O74,"RES IKT (vaja juurde taotleda)")</f>
        <v>5475223</v>
      </c>
      <c r="F13" s="10" t="s">
        <v>21</v>
      </c>
      <c r="G13" s="8"/>
      <c r="H13" s="8"/>
      <c r="I13" s="8"/>
      <c r="J13" s="8"/>
      <c r="K13" s="4"/>
    </row>
    <row r="14" spans="1:13" s="1" customFormat="1" hidden="1" x14ac:dyDescent="0.35">
      <c r="A14" s="224" t="s">
        <v>22</v>
      </c>
      <c r="B14" s="17">
        <f>SUM(C14:E14)</f>
        <v>9165546.3499999996</v>
      </c>
      <c r="C14" s="18">
        <f>SUMIFS(Q35:Q74,O35:O74,"SF 21-27 (taotletav raha)")</f>
        <v>18646</v>
      </c>
      <c r="D14" s="18">
        <f>SUMIFS(R35:R74,O35:O74,"SF 21-27 (taotletav raha)")</f>
        <v>3733213</v>
      </c>
      <c r="E14" s="18">
        <f>SUMIFS(S35:S74,O35:O74,"SF 21-27 (taotletav raha)")</f>
        <v>5413687.3499999996</v>
      </c>
      <c r="F14" s="10" t="s">
        <v>23</v>
      </c>
      <c r="G14" s="8"/>
      <c r="H14" s="8"/>
      <c r="I14" s="8"/>
      <c r="J14" s="8"/>
      <c r="K14" s="4"/>
    </row>
    <row r="15" spans="1:13" s="1" customFormat="1" hidden="1" x14ac:dyDescent="0.35">
      <c r="A15" s="6"/>
      <c r="B15" s="6"/>
      <c r="C15" s="6"/>
      <c r="D15" s="6"/>
      <c r="E15" s="6"/>
      <c r="F15" s="6"/>
      <c r="G15" s="6"/>
      <c r="H15" s="6"/>
      <c r="I15" s="6"/>
      <c r="J15" s="3"/>
    </row>
    <row r="16" spans="1:13" s="1" customFormat="1" ht="15" hidden="1" thickBot="1" x14ac:dyDescent="0.4">
      <c r="A16" s="10" t="s">
        <v>24</v>
      </c>
      <c r="B16" s="6"/>
      <c r="C16" s="6"/>
      <c r="D16" s="6"/>
      <c r="E16" s="6"/>
      <c r="F16" s="6"/>
      <c r="G16" s="6"/>
      <c r="H16" s="6"/>
      <c r="I16" s="6"/>
      <c r="J16" s="3"/>
    </row>
    <row r="17" spans="1:44" s="1" customFormat="1" ht="29.15" hidden="1" customHeight="1" x14ac:dyDescent="0.35">
      <c r="A17" s="52" t="s">
        <v>25</v>
      </c>
      <c r="B17" s="620" t="s">
        <v>26</v>
      </c>
      <c r="C17" s="621"/>
      <c r="D17" s="621"/>
      <c r="E17" s="621"/>
      <c r="F17" s="621"/>
      <c r="G17" s="621"/>
      <c r="H17" s="621"/>
      <c r="I17" s="621"/>
      <c r="J17" s="52" t="s">
        <v>27</v>
      </c>
      <c r="K17" s="608" t="s">
        <v>28</v>
      </c>
      <c r="L17" s="609"/>
      <c r="M17" s="609"/>
      <c r="N17" s="609"/>
      <c r="O17" s="609"/>
      <c r="P17" s="609"/>
      <c r="Q17" s="610"/>
    </row>
    <row r="18" spans="1:44" s="1" customFormat="1" hidden="1" x14ac:dyDescent="0.35">
      <c r="A18" s="53" t="s">
        <v>29</v>
      </c>
      <c r="B18" s="115" t="s">
        <v>30</v>
      </c>
      <c r="C18" s="116" t="s">
        <v>31</v>
      </c>
      <c r="D18" s="116" t="s">
        <v>32</v>
      </c>
      <c r="E18" s="116" t="s">
        <v>33</v>
      </c>
      <c r="F18" s="116" t="s">
        <v>34</v>
      </c>
      <c r="G18" s="116" t="s">
        <v>35</v>
      </c>
      <c r="H18" s="116" t="s">
        <v>36</v>
      </c>
      <c r="I18" s="232" t="s">
        <v>37</v>
      </c>
      <c r="J18" s="73"/>
      <c r="K18" s="3"/>
      <c r="Q18" s="69"/>
    </row>
    <row r="19" spans="1:44" s="1" customFormat="1" hidden="1" x14ac:dyDescent="0.35">
      <c r="A19" s="54" t="s">
        <v>38</v>
      </c>
      <c r="B19" s="284">
        <v>0</v>
      </c>
      <c r="C19" s="266"/>
      <c r="D19" s="266"/>
      <c r="E19" s="266"/>
      <c r="F19" s="266"/>
      <c r="G19" s="266"/>
      <c r="H19" s="266"/>
      <c r="I19" s="267">
        <f>750000+1006500</f>
        <v>1756500</v>
      </c>
      <c r="J19" s="546"/>
      <c r="K19" s="611" t="s">
        <v>39</v>
      </c>
      <c r="L19" s="612"/>
      <c r="M19" s="612"/>
      <c r="N19" s="612"/>
      <c r="O19" s="612"/>
      <c r="P19" s="612"/>
      <c r="Q19" s="613"/>
    </row>
    <row r="20" spans="1:44" s="1" customFormat="1" ht="29.15" hidden="1" customHeight="1" x14ac:dyDescent="0.35">
      <c r="A20" s="52" t="s">
        <v>40</v>
      </c>
      <c r="B20" s="622" t="s">
        <v>41</v>
      </c>
      <c r="C20" s="623"/>
      <c r="D20" s="623"/>
      <c r="E20" s="623"/>
      <c r="F20" s="623"/>
      <c r="G20" s="623"/>
      <c r="H20" s="623"/>
      <c r="I20" s="624"/>
      <c r="J20" s="75"/>
      <c r="K20" s="608" t="s">
        <v>42</v>
      </c>
      <c r="L20" s="609"/>
      <c r="M20" s="609"/>
      <c r="N20" s="609"/>
      <c r="O20" s="609"/>
      <c r="P20" s="609"/>
      <c r="Q20" s="610"/>
    </row>
    <row r="21" spans="1:44" s="1" customFormat="1" hidden="1" x14ac:dyDescent="0.35">
      <c r="A21" s="53" t="s">
        <v>29</v>
      </c>
      <c r="B21" s="115" t="s">
        <v>30</v>
      </c>
      <c r="C21" s="116" t="s">
        <v>31</v>
      </c>
      <c r="D21" s="116" t="s">
        <v>32</v>
      </c>
      <c r="E21" s="116" t="s">
        <v>33</v>
      </c>
      <c r="F21" s="116" t="s">
        <v>34</v>
      </c>
      <c r="G21" s="116" t="s">
        <v>35</v>
      </c>
      <c r="H21" s="116" t="s">
        <v>36</v>
      </c>
      <c r="I21" s="232" t="s">
        <v>37</v>
      </c>
      <c r="J21" s="73"/>
      <c r="K21" s="3"/>
      <c r="Q21" s="69"/>
    </row>
    <row r="22" spans="1:44" s="1" customFormat="1" hidden="1" x14ac:dyDescent="0.35">
      <c r="A22" s="54" t="s">
        <v>38</v>
      </c>
      <c r="B22" s="284">
        <v>0</v>
      </c>
      <c r="C22" s="266">
        <v>0</v>
      </c>
      <c r="D22" s="266">
        <v>4</v>
      </c>
      <c r="E22" s="266">
        <v>5</v>
      </c>
      <c r="F22" s="266">
        <v>6</v>
      </c>
      <c r="G22" s="266"/>
      <c r="H22" s="266"/>
      <c r="I22" s="267">
        <v>20</v>
      </c>
      <c r="J22" s="601" t="s">
        <v>43</v>
      </c>
      <c r="K22" s="611" t="s">
        <v>44</v>
      </c>
      <c r="L22" s="612"/>
      <c r="M22" s="612"/>
      <c r="N22" s="612"/>
      <c r="O22" s="612"/>
      <c r="P22" s="612"/>
      <c r="Q22" s="613"/>
    </row>
    <row r="23" spans="1:44" s="1" customFormat="1" ht="29.15" hidden="1" customHeight="1" x14ac:dyDescent="0.35">
      <c r="A23" s="52" t="s">
        <v>40</v>
      </c>
      <c r="B23" s="622" t="s">
        <v>45</v>
      </c>
      <c r="C23" s="623"/>
      <c r="D23" s="623"/>
      <c r="E23" s="623"/>
      <c r="F23" s="623"/>
      <c r="G23" s="623"/>
      <c r="H23" s="623"/>
      <c r="I23" s="624"/>
      <c r="J23" s="75"/>
      <c r="K23" s="608" t="s">
        <v>46</v>
      </c>
      <c r="L23" s="609"/>
      <c r="M23" s="609"/>
      <c r="N23" s="609"/>
      <c r="O23" s="609"/>
      <c r="P23" s="609"/>
      <c r="Q23" s="610"/>
    </row>
    <row r="24" spans="1:44" s="1" customFormat="1" hidden="1" x14ac:dyDescent="0.35">
      <c r="A24" s="53" t="s">
        <v>29</v>
      </c>
      <c r="B24" s="115" t="s">
        <v>30</v>
      </c>
      <c r="C24" s="116" t="s">
        <v>31</v>
      </c>
      <c r="D24" s="116" t="s">
        <v>32</v>
      </c>
      <c r="E24" s="116" t="s">
        <v>33</v>
      </c>
      <c r="F24" s="116" t="s">
        <v>34</v>
      </c>
      <c r="G24" s="116" t="s">
        <v>35</v>
      </c>
      <c r="H24" s="116" t="s">
        <v>36</v>
      </c>
      <c r="I24" s="232" t="s">
        <v>37</v>
      </c>
      <c r="J24" s="73"/>
      <c r="K24" s="3"/>
      <c r="Q24" s="69"/>
    </row>
    <row r="25" spans="1:44" s="1" customFormat="1" ht="43.5" hidden="1" x14ac:dyDescent="0.35">
      <c r="A25" s="54" t="s">
        <v>38</v>
      </c>
      <c r="B25" s="284">
        <v>0</v>
      </c>
      <c r="C25" s="266">
        <v>4</v>
      </c>
      <c r="D25" s="266">
        <v>4</v>
      </c>
      <c r="E25" s="266">
        <v>4</v>
      </c>
      <c r="F25" s="266">
        <v>4</v>
      </c>
      <c r="G25" s="266">
        <v>4</v>
      </c>
      <c r="H25" s="266">
        <v>4</v>
      </c>
      <c r="I25" s="267"/>
      <c r="J25" s="268" t="s">
        <v>47</v>
      </c>
      <c r="K25" s="611" t="s">
        <v>48</v>
      </c>
      <c r="L25" s="612"/>
      <c r="M25" s="612"/>
      <c r="N25" s="612"/>
      <c r="O25" s="612"/>
      <c r="P25" s="612"/>
      <c r="Q25" s="613"/>
    </row>
    <row r="26" spans="1:44" s="1" customFormat="1" ht="72.5" hidden="1" x14ac:dyDescent="0.35">
      <c r="A26" s="52" t="s">
        <v>49</v>
      </c>
      <c r="B26" s="622" t="s">
        <v>50</v>
      </c>
      <c r="C26" s="623"/>
      <c r="D26" s="623"/>
      <c r="E26" s="623"/>
      <c r="F26" s="623"/>
      <c r="G26" s="623"/>
      <c r="H26" s="623"/>
      <c r="I26" s="624"/>
      <c r="J26" s="75"/>
      <c r="K26" s="608" t="s">
        <v>51</v>
      </c>
      <c r="L26" s="609"/>
      <c r="M26" s="609"/>
      <c r="N26" s="609"/>
      <c r="O26" s="609"/>
      <c r="P26" s="609"/>
      <c r="Q26" s="610"/>
    </row>
    <row r="27" spans="1:44" s="1" customFormat="1" ht="14.4" hidden="1" customHeight="1" x14ac:dyDescent="0.35">
      <c r="A27" s="53" t="s">
        <v>29</v>
      </c>
      <c r="B27" s="115" t="s">
        <v>30</v>
      </c>
      <c r="C27" s="116" t="s">
        <v>31</v>
      </c>
      <c r="D27" s="116" t="s">
        <v>32</v>
      </c>
      <c r="E27" s="116" t="s">
        <v>33</v>
      </c>
      <c r="F27" s="116" t="s">
        <v>34</v>
      </c>
      <c r="G27" s="116" t="s">
        <v>35</v>
      </c>
      <c r="H27" s="116" t="s">
        <v>36</v>
      </c>
      <c r="I27" s="232" t="s">
        <v>37</v>
      </c>
      <c r="J27" s="73"/>
      <c r="K27" s="3"/>
      <c r="Q27" s="69"/>
    </row>
    <row r="28" spans="1:44" s="1" customFormat="1" hidden="1" x14ac:dyDescent="0.35">
      <c r="A28" s="54" t="s">
        <v>38</v>
      </c>
      <c r="B28" s="284">
        <v>69</v>
      </c>
      <c r="C28" s="266">
        <v>69</v>
      </c>
      <c r="D28" s="266">
        <v>73</v>
      </c>
      <c r="E28" s="266">
        <v>76</v>
      </c>
      <c r="F28" s="266">
        <v>79</v>
      </c>
      <c r="G28" s="266">
        <v>83</v>
      </c>
      <c r="H28" s="266">
        <v>87</v>
      </c>
      <c r="I28" s="267">
        <v>90</v>
      </c>
      <c r="J28" s="546"/>
      <c r="K28" s="611" t="s">
        <v>52</v>
      </c>
      <c r="L28" s="612"/>
      <c r="M28" s="612"/>
      <c r="N28" s="612"/>
      <c r="O28" s="612"/>
      <c r="P28" s="612"/>
      <c r="Q28" s="613"/>
    </row>
    <row r="29" spans="1:44" s="1" customFormat="1" hidden="1" x14ac:dyDescent="0.35">
      <c r="A29" s="3"/>
      <c r="B29" s="3"/>
      <c r="J29" s="547"/>
    </row>
    <row r="30" spans="1:44" s="1" customFormat="1" hidden="1" x14ac:dyDescent="0.35">
      <c r="J30" s="3"/>
    </row>
    <row r="31" spans="1:44" s="1" customFormat="1" ht="15" hidden="1" thickBot="1" x14ac:dyDescent="0.4">
      <c r="C31" s="80"/>
      <c r="D31" s="80"/>
      <c r="J31" s="3"/>
    </row>
    <row r="32" spans="1:44" s="1" customFormat="1" ht="15" hidden="1" thickBot="1" x14ac:dyDescent="0.4">
      <c r="C32" s="80"/>
      <c r="D32" s="80"/>
      <c r="J32" s="3"/>
      <c r="W32" s="618" t="s">
        <v>53</v>
      </c>
      <c r="X32" s="619"/>
      <c r="Y32" s="619"/>
      <c r="Z32" s="619"/>
      <c r="AA32" s="619"/>
      <c r="AB32" s="619"/>
      <c r="AC32" s="619"/>
      <c r="AD32" s="619"/>
      <c r="AE32" s="619"/>
      <c r="AF32" s="619"/>
      <c r="AG32" s="619"/>
      <c r="AH32" s="619"/>
      <c r="AI32" s="619"/>
      <c r="AJ32" s="619"/>
      <c r="AK32" s="619"/>
      <c r="AL32" s="609"/>
      <c r="AM32" s="609"/>
      <c r="AN32" s="610"/>
      <c r="AR32" s="34"/>
    </row>
    <row r="33" spans="1:45" ht="73" thickBot="1" x14ac:dyDescent="0.4">
      <c r="A33" s="719" t="s">
        <v>54</v>
      </c>
      <c r="B33" s="315" t="s">
        <v>55</v>
      </c>
      <c r="C33" s="315" t="s">
        <v>56</v>
      </c>
      <c r="D33" s="315" t="s">
        <v>57</v>
      </c>
      <c r="E33" s="315" t="s">
        <v>58</v>
      </c>
      <c r="F33" s="315" t="s">
        <v>59</v>
      </c>
      <c r="G33" s="315" t="s">
        <v>60</v>
      </c>
      <c r="H33" s="315" t="s">
        <v>61</v>
      </c>
      <c r="I33" s="315" t="s">
        <v>62</v>
      </c>
      <c r="J33" s="315" t="s">
        <v>63</v>
      </c>
      <c r="K33" s="316" t="s">
        <v>64</v>
      </c>
      <c r="L33" s="317" t="s">
        <v>65</v>
      </c>
      <c r="M33" s="315" t="s">
        <v>66</v>
      </c>
      <c r="N33" s="315" t="s">
        <v>67</v>
      </c>
      <c r="O33" s="315" t="s">
        <v>68</v>
      </c>
      <c r="P33" s="318" t="s">
        <v>69</v>
      </c>
      <c r="Q33" s="314">
        <v>2023</v>
      </c>
      <c r="R33" s="250">
        <v>2024</v>
      </c>
      <c r="S33" s="250">
        <v>2025</v>
      </c>
      <c r="T33" s="250">
        <v>2026</v>
      </c>
      <c r="U33" s="250">
        <v>2027</v>
      </c>
      <c r="V33" s="249">
        <v>2028</v>
      </c>
      <c r="W33" s="614" t="s">
        <v>70</v>
      </c>
      <c r="X33" s="615"/>
      <c r="Y33" s="616"/>
      <c r="Z33" s="720">
        <v>2024</v>
      </c>
      <c r="AA33" s="721"/>
      <c r="AB33" s="722"/>
      <c r="AC33" s="720">
        <v>2025</v>
      </c>
      <c r="AD33" s="721"/>
      <c r="AE33" s="722"/>
      <c r="AF33" s="720">
        <v>2026</v>
      </c>
      <c r="AG33" s="721"/>
      <c r="AH33" s="722"/>
      <c r="AI33" s="720">
        <v>2027</v>
      </c>
      <c r="AJ33" s="721"/>
      <c r="AK33" s="721"/>
      <c r="AL33" s="723">
        <v>2028</v>
      </c>
      <c r="AM33" s="724"/>
      <c r="AN33" s="725"/>
      <c r="AO33" s="726" t="s">
        <v>714</v>
      </c>
      <c r="AP33" s="727" t="s">
        <v>71</v>
      </c>
      <c r="AQ33" s="726" t="s">
        <v>72</v>
      </c>
      <c r="AR33" s="728" t="s">
        <v>73</v>
      </c>
      <c r="AS33" s="729" t="s">
        <v>74</v>
      </c>
    </row>
    <row r="34" spans="1:45" s="233" customFormat="1" ht="169.5" hidden="1" customHeight="1" thickBot="1" x14ac:dyDescent="0.4">
      <c r="A34" s="432" t="s">
        <v>75</v>
      </c>
      <c r="B34" s="319" t="s">
        <v>76</v>
      </c>
      <c r="C34" s="319" t="s">
        <v>77</v>
      </c>
      <c r="D34" s="319" t="s">
        <v>78</v>
      </c>
      <c r="E34" s="320" t="s">
        <v>79</v>
      </c>
      <c r="F34" s="320" t="s">
        <v>79</v>
      </c>
      <c r="G34" s="320" t="s">
        <v>80</v>
      </c>
      <c r="H34" s="319" t="s">
        <v>81</v>
      </c>
      <c r="I34" s="319" t="s">
        <v>82</v>
      </c>
      <c r="J34" s="319" t="s">
        <v>83</v>
      </c>
      <c r="K34" s="319" t="s">
        <v>84</v>
      </c>
      <c r="L34" s="321" t="s">
        <v>85</v>
      </c>
      <c r="M34" s="321" t="s">
        <v>86</v>
      </c>
      <c r="N34" s="322" t="s">
        <v>87</v>
      </c>
      <c r="O34" s="320" t="s">
        <v>79</v>
      </c>
      <c r="P34" s="323"/>
      <c r="Q34" s="605"/>
      <c r="R34" s="606"/>
      <c r="S34" s="606"/>
      <c r="T34" s="606"/>
      <c r="U34" s="606"/>
      <c r="V34" s="607"/>
      <c r="W34" s="28" t="s">
        <v>88</v>
      </c>
      <c r="X34" s="25" t="s">
        <v>89</v>
      </c>
      <c r="Y34" s="26" t="s">
        <v>90</v>
      </c>
      <c r="Z34" s="24" t="s">
        <v>88</v>
      </c>
      <c r="AA34" s="25" t="s">
        <v>89</v>
      </c>
      <c r="AB34" s="27" t="s">
        <v>90</v>
      </c>
      <c r="AC34" s="28" t="s">
        <v>88</v>
      </c>
      <c r="AD34" s="25" t="s">
        <v>89</v>
      </c>
      <c r="AE34" s="26" t="s">
        <v>90</v>
      </c>
      <c r="AF34" s="28" t="s">
        <v>88</v>
      </c>
      <c r="AG34" s="25" t="s">
        <v>89</v>
      </c>
      <c r="AH34" s="26" t="s">
        <v>90</v>
      </c>
      <c r="AI34" s="28" t="s">
        <v>88</v>
      </c>
      <c r="AJ34" s="25" t="s">
        <v>89</v>
      </c>
      <c r="AK34" s="27" t="s">
        <v>90</v>
      </c>
      <c r="AL34" s="28" t="s">
        <v>88</v>
      </c>
      <c r="AM34" s="25" t="s">
        <v>89</v>
      </c>
      <c r="AN34" s="26" t="s">
        <v>90</v>
      </c>
      <c r="AO34" s="328" t="s">
        <v>91</v>
      </c>
      <c r="AP34" s="329" t="s">
        <v>79</v>
      </c>
      <c r="AQ34" s="341" t="s">
        <v>92</v>
      </c>
      <c r="AR34" s="341" t="s">
        <v>93</v>
      </c>
      <c r="AS34" s="329" t="s">
        <v>94</v>
      </c>
    </row>
    <row r="35" spans="1:45" ht="73" customHeight="1" x14ac:dyDescent="0.35">
      <c r="A35" s="313" t="s">
        <v>2</v>
      </c>
      <c r="B35" s="251" t="s">
        <v>95</v>
      </c>
      <c r="C35" s="251"/>
      <c r="D35" s="252" t="s">
        <v>96</v>
      </c>
      <c r="E35" s="252" t="s">
        <v>97</v>
      </c>
      <c r="F35" s="252" t="s">
        <v>98</v>
      </c>
      <c r="G35" s="252" t="s">
        <v>99</v>
      </c>
      <c r="H35" s="252"/>
      <c r="I35" s="252" t="s">
        <v>100</v>
      </c>
      <c r="J35" s="251" t="s">
        <v>101</v>
      </c>
      <c r="K35" s="252" t="s">
        <v>102</v>
      </c>
      <c r="L35" s="252"/>
      <c r="M35" s="252" t="s">
        <v>103</v>
      </c>
      <c r="N35" s="252"/>
      <c r="O35" s="252" t="s">
        <v>104</v>
      </c>
      <c r="P35" s="269">
        <f t="shared" ref="P35:P74" si="1">SUM(Q35:V35)</f>
        <v>147310</v>
      </c>
      <c r="Q35" s="279">
        <f t="shared" ref="Q35" si="2">SUM(W35:Y35)</f>
        <v>0</v>
      </c>
      <c r="R35" s="278">
        <f t="shared" ref="R35" si="3">SUM(Z35:AB35)</f>
        <v>147310</v>
      </c>
      <c r="S35" s="278">
        <f t="shared" ref="S35" si="4">SUM(AC35:AE35)</f>
        <v>0</v>
      </c>
      <c r="T35" s="278">
        <f t="shared" ref="T35" si="5">SUM(AF35:AH35)</f>
        <v>0</v>
      </c>
      <c r="U35" s="278">
        <f>SUM(AI35:AK35)</f>
        <v>0</v>
      </c>
      <c r="V35" s="280">
        <f>SUM(AL35:AN35)</f>
        <v>0</v>
      </c>
      <c r="W35" s="433"/>
      <c r="X35" s="434"/>
      <c r="Y35" s="435"/>
      <c r="Z35" s="730">
        <v>88000</v>
      </c>
      <c r="AA35" s="731">
        <v>59310</v>
      </c>
      <c r="AB35" s="731"/>
      <c r="AC35" s="732"/>
      <c r="AD35" s="731"/>
      <c r="AE35" s="733"/>
      <c r="AF35" s="732"/>
      <c r="AG35" s="731"/>
      <c r="AH35" s="733"/>
      <c r="AI35" s="732"/>
      <c r="AJ35" s="731"/>
      <c r="AK35" s="731"/>
      <c r="AL35" s="734"/>
      <c r="AM35" s="735"/>
      <c r="AN35" s="736"/>
      <c r="AO35" s="379" t="s">
        <v>105</v>
      </c>
      <c r="AP35" s="258" t="s">
        <v>106</v>
      </c>
      <c r="AQ35" s="259"/>
      <c r="AR35" s="737"/>
      <c r="AS35" s="738"/>
    </row>
    <row r="36" spans="1:45" ht="73" customHeight="1" x14ac:dyDescent="0.35">
      <c r="A36" s="313" t="s">
        <v>2</v>
      </c>
      <c r="B36" s="251" t="s">
        <v>95</v>
      </c>
      <c r="C36" s="313"/>
      <c r="D36" s="251" t="s">
        <v>96</v>
      </c>
      <c r="E36" s="251" t="s">
        <v>97</v>
      </c>
      <c r="F36" s="252" t="s">
        <v>98</v>
      </c>
      <c r="G36" s="252" t="s">
        <v>99</v>
      </c>
      <c r="H36" s="252"/>
      <c r="I36" s="252" t="s">
        <v>100</v>
      </c>
      <c r="J36" s="252" t="s">
        <v>107</v>
      </c>
      <c r="K36" s="252" t="s">
        <v>108</v>
      </c>
      <c r="L36" s="251"/>
      <c r="M36" s="252" t="s">
        <v>103</v>
      </c>
      <c r="N36" s="252" t="s">
        <v>109</v>
      </c>
      <c r="O36" s="252" t="s">
        <v>104</v>
      </c>
      <c r="P36" s="269">
        <f t="shared" si="1"/>
        <v>703596</v>
      </c>
      <c r="Q36" s="270">
        <f t="shared" ref="Q36:Q74" si="6">SUM(W36:Y36)</f>
        <v>0</v>
      </c>
      <c r="R36" s="281">
        <f t="shared" ref="R36" si="7">SUM(Z36:AB36)</f>
        <v>0</v>
      </c>
      <c r="S36" s="281">
        <f t="shared" ref="S36" si="8">SUM(AC36:AE36)</f>
        <v>703596</v>
      </c>
      <c r="T36" s="281">
        <f t="shared" ref="T36" si="9">SUM(AF36:AH36)</f>
        <v>0</v>
      </c>
      <c r="U36" s="282">
        <f>SUM(AI36:AK36)</f>
        <v>0</v>
      </c>
      <c r="V36" s="283">
        <f t="shared" ref="V36:V74" si="10">SUM(AL36:AN36)</f>
        <v>0</v>
      </c>
      <c r="W36" s="433"/>
      <c r="X36" s="434"/>
      <c r="Y36" s="435"/>
      <c r="Z36" s="730"/>
      <c r="AA36" s="731"/>
      <c r="AB36" s="731"/>
      <c r="AC36" s="732">
        <v>590850</v>
      </c>
      <c r="AD36" s="731">
        <v>112746</v>
      </c>
      <c r="AE36" s="733"/>
      <c r="AF36" s="732"/>
      <c r="AG36" s="731"/>
      <c r="AH36" s="733"/>
      <c r="AI36" s="732"/>
      <c r="AJ36" s="731"/>
      <c r="AK36" s="731"/>
      <c r="AL36" s="739"/>
      <c r="AM36" s="740"/>
      <c r="AN36" s="741"/>
      <c r="AO36" s="379" t="s">
        <v>105</v>
      </c>
      <c r="AP36" s="258" t="s">
        <v>106</v>
      </c>
      <c r="AQ36" s="259" t="s">
        <v>110</v>
      </c>
      <c r="AR36" s="261"/>
      <c r="AS36" s="380"/>
    </row>
    <row r="37" spans="1:45" ht="73" customHeight="1" x14ac:dyDescent="0.35">
      <c r="A37" s="313" t="s">
        <v>2</v>
      </c>
      <c r="B37" s="251" t="s">
        <v>95</v>
      </c>
      <c r="C37" s="313"/>
      <c r="D37" s="251" t="s">
        <v>111</v>
      </c>
      <c r="E37" s="251" t="s">
        <v>97</v>
      </c>
      <c r="F37" s="252" t="s">
        <v>112</v>
      </c>
      <c r="G37" s="252" t="s">
        <v>99</v>
      </c>
      <c r="H37" s="252"/>
      <c r="I37" s="253" t="s">
        <v>113</v>
      </c>
      <c r="J37" s="252" t="s">
        <v>114</v>
      </c>
      <c r="K37" s="252" t="s">
        <v>108</v>
      </c>
      <c r="L37" s="251"/>
      <c r="M37" s="252" t="s">
        <v>115</v>
      </c>
      <c r="N37" s="252"/>
      <c r="O37" s="252" t="s">
        <v>104</v>
      </c>
      <c r="P37" s="269">
        <f t="shared" si="1"/>
        <v>445149</v>
      </c>
      <c r="Q37" s="270">
        <f t="shared" si="6"/>
        <v>0</v>
      </c>
      <c r="R37" s="281">
        <f t="shared" ref="R37:R74" si="11">SUM(Z37:AB37)</f>
        <v>107146</v>
      </c>
      <c r="S37" s="281">
        <f t="shared" ref="S37:S74" si="12">SUM(AC37:AE37)</f>
        <v>338003</v>
      </c>
      <c r="T37" s="281">
        <f t="shared" ref="T37:T74" si="13">SUM(AF37:AH37)</f>
        <v>0</v>
      </c>
      <c r="U37" s="282">
        <f t="shared" ref="U37:U74" si="14">SUM(AI37:AK37)</f>
        <v>0</v>
      </c>
      <c r="V37" s="283">
        <f t="shared" si="10"/>
        <v>0</v>
      </c>
      <c r="W37" s="433"/>
      <c r="X37" s="434"/>
      <c r="Y37" s="435"/>
      <c r="Z37" s="730">
        <v>78000</v>
      </c>
      <c r="AA37" s="731">
        <v>29146</v>
      </c>
      <c r="AB37" s="731">
        <v>0</v>
      </c>
      <c r="AC37" s="732">
        <v>271700</v>
      </c>
      <c r="AD37" s="731">
        <v>66303</v>
      </c>
      <c r="AE37" s="733">
        <v>0</v>
      </c>
      <c r="AF37" s="732">
        <v>0</v>
      </c>
      <c r="AG37" s="731">
        <v>0</v>
      </c>
      <c r="AH37" s="733"/>
      <c r="AI37" s="732">
        <v>0</v>
      </c>
      <c r="AJ37" s="731">
        <v>0</v>
      </c>
      <c r="AK37" s="731">
        <v>0</v>
      </c>
      <c r="AL37" s="739"/>
      <c r="AM37" s="740"/>
      <c r="AN37" s="741"/>
      <c r="AO37" s="379" t="s">
        <v>116</v>
      </c>
      <c r="AP37" s="258" t="s">
        <v>106</v>
      </c>
      <c r="AQ37" s="259" t="s">
        <v>117</v>
      </c>
      <c r="AR37" s="262"/>
      <c r="AS37" s="380"/>
    </row>
    <row r="38" spans="1:45" ht="73" customHeight="1" x14ac:dyDescent="0.35">
      <c r="A38" s="313" t="s">
        <v>2</v>
      </c>
      <c r="B38" s="251" t="s">
        <v>118</v>
      </c>
      <c r="C38" s="313"/>
      <c r="D38" s="251" t="s">
        <v>119</v>
      </c>
      <c r="E38" s="251" t="s">
        <v>97</v>
      </c>
      <c r="F38" s="252" t="s">
        <v>120</v>
      </c>
      <c r="G38" s="252" t="s">
        <v>121</v>
      </c>
      <c r="H38" s="252"/>
      <c r="I38" s="253" t="s">
        <v>122</v>
      </c>
      <c r="J38" s="252" t="s">
        <v>123</v>
      </c>
      <c r="K38" s="252" t="s">
        <v>124</v>
      </c>
      <c r="L38" s="363"/>
      <c r="M38" s="252"/>
      <c r="N38" s="252"/>
      <c r="O38" s="252" t="s">
        <v>104</v>
      </c>
      <c r="P38" s="269">
        <f t="shared" si="1"/>
        <v>227176.53766250008</v>
      </c>
      <c r="Q38" s="270">
        <f t="shared" si="6"/>
        <v>9323</v>
      </c>
      <c r="R38" s="281">
        <f t="shared" si="11"/>
        <v>39426</v>
      </c>
      <c r="S38" s="281">
        <f t="shared" si="12"/>
        <v>41397.300000000003</v>
      </c>
      <c r="T38" s="281">
        <f t="shared" si="13"/>
        <v>43467.165000000008</v>
      </c>
      <c r="U38" s="282">
        <f t="shared" si="14"/>
        <v>45640.523250000013</v>
      </c>
      <c r="V38" s="283">
        <f t="shared" si="10"/>
        <v>47922.549412500019</v>
      </c>
      <c r="W38" s="433"/>
      <c r="X38" s="434">
        <v>9323</v>
      </c>
      <c r="Y38" s="435"/>
      <c r="Z38" s="730"/>
      <c r="AA38" s="731">
        <v>39426</v>
      </c>
      <c r="AB38" s="731"/>
      <c r="AC38" s="732"/>
      <c r="AD38" s="731">
        <f>AA38*1.05</f>
        <v>41397.300000000003</v>
      </c>
      <c r="AE38" s="733"/>
      <c r="AF38" s="732"/>
      <c r="AG38" s="731">
        <f>AD38*1.05</f>
        <v>43467.165000000008</v>
      </c>
      <c r="AH38" s="733"/>
      <c r="AI38" s="732"/>
      <c r="AJ38" s="731">
        <f>AG38*1.05</f>
        <v>45640.523250000013</v>
      </c>
      <c r="AK38" s="731"/>
      <c r="AL38" s="739"/>
      <c r="AM38" s="731">
        <f>AJ38*1.05</f>
        <v>47922.549412500019</v>
      </c>
      <c r="AN38" s="741"/>
      <c r="AO38" s="379" t="s">
        <v>125</v>
      </c>
      <c r="AP38" s="258" t="s">
        <v>126</v>
      </c>
      <c r="AQ38" s="263" t="s">
        <v>127</v>
      </c>
      <c r="AR38" s="262"/>
      <c r="AS38" s="380"/>
    </row>
    <row r="39" spans="1:45" ht="73" customHeight="1" x14ac:dyDescent="0.35">
      <c r="A39" s="313" t="s">
        <v>2</v>
      </c>
      <c r="B39" s="251" t="s">
        <v>128</v>
      </c>
      <c r="C39" s="313"/>
      <c r="D39" s="251" t="s">
        <v>129</v>
      </c>
      <c r="E39" s="251" t="s">
        <v>97</v>
      </c>
      <c r="F39" s="252" t="s">
        <v>120</v>
      </c>
      <c r="G39" s="252" t="s">
        <v>121</v>
      </c>
      <c r="H39" s="252"/>
      <c r="I39" s="253" t="s">
        <v>130</v>
      </c>
      <c r="J39" s="252" t="s">
        <v>131</v>
      </c>
      <c r="K39" s="252" t="s">
        <v>132</v>
      </c>
      <c r="L39" s="363"/>
      <c r="M39" s="252"/>
      <c r="N39" s="252"/>
      <c r="O39" s="252" t="s">
        <v>104</v>
      </c>
      <c r="P39" s="269">
        <f t="shared" si="1"/>
        <v>290000</v>
      </c>
      <c r="Q39" s="270">
        <f t="shared" si="6"/>
        <v>0</v>
      </c>
      <c r="R39" s="281">
        <f>SUM(Z39:AB39)</f>
        <v>90000</v>
      </c>
      <c r="S39" s="281">
        <f t="shared" si="12"/>
        <v>50000</v>
      </c>
      <c r="T39" s="281">
        <f t="shared" si="13"/>
        <v>50000</v>
      </c>
      <c r="U39" s="282">
        <f t="shared" si="14"/>
        <v>50000</v>
      </c>
      <c r="V39" s="283">
        <f t="shared" si="10"/>
        <v>50000</v>
      </c>
      <c r="W39" s="433"/>
      <c r="X39" s="434"/>
      <c r="Y39" s="435"/>
      <c r="Z39" s="730"/>
      <c r="AA39" s="731"/>
      <c r="AB39" s="731">
        <v>90000</v>
      </c>
      <c r="AC39" s="732"/>
      <c r="AD39" s="731"/>
      <c r="AE39" s="733">
        <v>50000</v>
      </c>
      <c r="AF39" s="732"/>
      <c r="AG39" s="742"/>
      <c r="AH39" s="733">
        <v>50000</v>
      </c>
      <c r="AI39" s="732"/>
      <c r="AJ39" s="731"/>
      <c r="AK39" s="731">
        <v>50000</v>
      </c>
      <c r="AL39" s="739"/>
      <c r="AM39" s="740"/>
      <c r="AN39" s="741">
        <v>50000</v>
      </c>
      <c r="AO39" s="379"/>
      <c r="AP39" s="258" t="s">
        <v>106</v>
      </c>
      <c r="AQ39" s="259"/>
      <c r="AR39" s="262"/>
      <c r="AS39" s="380"/>
    </row>
    <row r="40" spans="1:45" ht="58" hidden="1" x14ac:dyDescent="0.35">
      <c r="A40" s="313" t="s">
        <v>2</v>
      </c>
      <c r="B40" s="251" t="s">
        <v>118</v>
      </c>
      <c r="C40" s="251"/>
      <c r="D40" s="252"/>
      <c r="E40" s="252" t="s">
        <v>97</v>
      </c>
      <c r="F40" s="252" t="s">
        <v>112</v>
      </c>
      <c r="G40" s="261" t="s">
        <v>133</v>
      </c>
      <c r="H40" s="252"/>
      <c r="I40" s="252"/>
      <c r="J40" s="251" t="s">
        <v>134</v>
      </c>
      <c r="K40" s="252"/>
      <c r="L40" s="252"/>
      <c r="M40" s="252"/>
      <c r="N40" s="252"/>
      <c r="O40" s="252" t="s">
        <v>135</v>
      </c>
      <c r="P40" s="269">
        <f t="shared" si="1"/>
        <v>3811974</v>
      </c>
      <c r="Q40" s="270">
        <v>670397</v>
      </c>
      <c r="R40" s="281">
        <v>841236</v>
      </c>
      <c r="S40" s="281">
        <v>869839</v>
      </c>
      <c r="T40" s="281">
        <v>707436</v>
      </c>
      <c r="U40" s="282">
        <v>723066</v>
      </c>
      <c r="V40" s="283">
        <f t="shared" si="10"/>
        <v>0</v>
      </c>
      <c r="W40" s="433">
        <v>520000</v>
      </c>
      <c r="X40" s="434">
        <v>130780</v>
      </c>
      <c r="Y40" s="435">
        <v>19617</v>
      </c>
      <c r="Z40" s="436">
        <v>609082</v>
      </c>
      <c r="AA40" s="434">
        <v>201873</v>
      </c>
      <c r="AB40" s="434">
        <v>30281</v>
      </c>
      <c r="AC40" s="433">
        <v>626077</v>
      </c>
      <c r="AD40" s="434">
        <v>211967</v>
      </c>
      <c r="AE40" s="435">
        <v>31795</v>
      </c>
      <c r="AF40" s="433">
        <v>451486</v>
      </c>
      <c r="AG40" s="434">
        <v>222565</v>
      </c>
      <c r="AH40" s="435">
        <v>33385</v>
      </c>
      <c r="AI40" s="433">
        <v>454319</v>
      </c>
      <c r="AJ40" s="434">
        <v>233693</v>
      </c>
      <c r="AK40" s="434">
        <v>35054</v>
      </c>
      <c r="AL40" s="437"/>
      <c r="AM40" s="438"/>
      <c r="AN40" s="439"/>
      <c r="AO40" s="379"/>
      <c r="AP40" s="258" t="s">
        <v>136</v>
      </c>
      <c r="AQ40" s="259"/>
      <c r="AR40" s="262"/>
      <c r="AS40" s="380"/>
    </row>
    <row r="41" spans="1:45" s="188" customFormat="1" ht="58" hidden="1" x14ac:dyDescent="0.35">
      <c r="A41" s="313" t="s">
        <v>2</v>
      </c>
      <c r="B41" s="251" t="s">
        <v>118</v>
      </c>
      <c r="C41" s="251"/>
      <c r="D41" s="252"/>
      <c r="E41" s="252" t="s">
        <v>97</v>
      </c>
      <c r="F41" s="252" t="s">
        <v>112</v>
      </c>
      <c r="G41" s="261" t="s">
        <v>133</v>
      </c>
      <c r="H41" s="252"/>
      <c r="I41" s="252"/>
      <c r="J41" s="252" t="s">
        <v>137</v>
      </c>
      <c r="K41" s="252"/>
      <c r="L41" s="252"/>
      <c r="M41" s="252"/>
      <c r="N41" s="252"/>
      <c r="O41" s="252" t="s">
        <v>135</v>
      </c>
      <c r="P41" s="269">
        <f t="shared" si="1"/>
        <v>9408044</v>
      </c>
      <c r="Q41" s="270">
        <v>1345472</v>
      </c>
      <c r="R41" s="281">
        <v>2015643</v>
      </c>
      <c r="S41" s="281">
        <v>2015643</v>
      </c>
      <c r="T41" s="281">
        <v>2015643</v>
      </c>
      <c r="U41" s="281">
        <v>2015643</v>
      </c>
      <c r="V41" s="283">
        <f t="shared" si="10"/>
        <v>0</v>
      </c>
      <c r="W41" s="433">
        <v>1020000</v>
      </c>
      <c r="X41" s="434">
        <v>281570</v>
      </c>
      <c r="Y41" s="435">
        <f>42236+1664</f>
        <v>43900</v>
      </c>
      <c r="Z41" s="433">
        <v>1597341</v>
      </c>
      <c r="AA41" s="434">
        <v>357682.5</v>
      </c>
      <c r="AB41" s="435">
        <v>60620</v>
      </c>
      <c r="AC41" s="433">
        <v>1597341</v>
      </c>
      <c r="AD41" s="434">
        <v>357682.5</v>
      </c>
      <c r="AE41" s="435">
        <v>60620</v>
      </c>
      <c r="AF41" s="433">
        <v>1597341</v>
      </c>
      <c r="AG41" s="434">
        <v>357682.5</v>
      </c>
      <c r="AH41" s="435">
        <v>60620</v>
      </c>
      <c r="AI41" s="436">
        <v>1597341</v>
      </c>
      <c r="AJ41" s="434">
        <v>357682.5</v>
      </c>
      <c r="AK41" s="434">
        <v>60620</v>
      </c>
      <c r="AL41" s="437"/>
      <c r="AM41" s="438"/>
      <c r="AN41" s="439"/>
      <c r="AO41" s="379"/>
      <c r="AP41" s="258" t="s">
        <v>136</v>
      </c>
      <c r="AQ41" s="259"/>
      <c r="AR41" s="260"/>
      <c r="AS41" s="336"/>
    </row>
    <row r="42" spans="1:45" s="188" customFormat="1" ht="58" hidden="1" x14ac:dyDescent="0.35">
      <c r="A42" s="313" t="s">
        <v>2</v>
      </c>
      <c r="B42" s="251" t="s">
        <v>118</v>
      </c>
      <c r="C42" s="251"/>
      <c r="D42" s="252"/>
      <c r="E42" s="252" t="s">
        <v>97</v>
      </c>
      <c r="F42" s="252" t="s">
        <v>112</v>
      </c>
      <c r="G42" s="261" t="s">
        <v>133</v>
      </c>
      <c r="H42" s="252"/>
      <c r="I42" s="252"/>
      <c r="J42" s="252" t="s">
        <v>138</v>
      </c>
      <c r="K42" s="252"/>
      <c r="L42" s="252"/>
      <c r="M42" s="252"/>
      <c r="N42" s="252"/>
      <c r="O42" s="252" t="s">
        <v>139</v>
      </c>
      <c r="P42" s="269">
        <f t="shared" ref="P42:P43" si="15">SUM(Q42:V42)</f>
        <v>3600000</v>
      </c>
      <c r="Q42" s="270">
        <f t="shared" ref="Q42:Q43" si="16">SUM(W42:Y42)</f>
        <v>0</v>
      </c>
      <c r="R42" s="281">
        <f t="shared" ref="R42:R43" si="17">SUM(Z42:AB42)</f>
        <v>3600000</v>
      </c>
      <c r="S42" s="281">
        <f t="shared" ref="S42:S43" si="18">SUM(AC42:AE42)</f>
        <v>0</v>
      </c>
      <c r="T42" s="281">
        <f t="shared" ref="T42:T43" si="19">SUM(AF42:AH42)</f>
        <v>0</v>
      </c>
      <c r="U42" s="282">
        <f t="shared" ref="U42:U43" si="20">SUM(AI42:AK42)</f>
        <v>0</v>
      </c>
      <c r="V42" s="283">
        <f t="shared" ref="V42:V43" si="21">SUM(AL42:AN42)</f>
        <v>0</v>
      </c>
      <c r="W42" s="433"/>
      <c r="X42" s="434"/>
      <c r="Y42" s="435"/>
      <c r="Z42" s="436">
        <v>3600000</v>
      </c>
      <c r="AA42" s="434"/>
      <c r="AB42" s="434"/>
      <c r="AC42" s="433"/>
      <c r="AD42" s="434"/>
      <c r="AE42" s="435"/>
      <c r="AF42" s="433"/>
      <c r="AG42" s="434"/>
      <c r="AH42" s="435"/>
      <c r="AI42" s="433"/>
      <c r="AJ42" s="434"/>
      <c r="AK42" s="434"/>
      <c r="AL42" s="437"/>
      <c r="AM42" s="438"/>
      <c r="AN42" s="439"/>
      <c r="AO42" s="379"/>
      <c r="AP42" s="258"/>
      <c r="AQ42" s="259"/>
      <c r="AR42" s="260"/>
      <c r="AS42" s="336"/>
    </row>
    <row r="43" spans="1:45" s="188" customFormat="1" ht="15.5" hidden="1" x14ac:dyDescent="0.35">
      <c r="A43" s="313"/>
      <c r="B43" s="251"/>
      <c r="C43" s="251"/>
      <c r="D43" s="252"/>
      <c r="E43" s="252"/>
      <c r="F43" s="252"/>
      <c r="G43" s="261"/>
      <c r="H43" s="252"/>
      <c r="I43" s="252"/>
      <c r="J43" s="252"/>
      <c r="K43" s="252"/>
      <c r="L43" s="252"/>
      <c r="M43" s="252"/>
      <c r="N43" s="252"/>
      <c r="O43" s="252"/>
      <c r="P43" s="269">
        <f t="shared" si="15"/>
        <v>0</v>
      </c>
      <c r="Q43" s="270">
        <f t="shared" si="16"/>
        <v>0</v>
      </c>
      <c r="R43" s="281">
        <f t="shared" si="17"/>
        <v>0</v>
      </c>
      <c r="S43" s="281">
        <f t="shared" si="18"/>
        <v>0</v>
      </c>
      <c r="T43" s="281">
        <f t="shared" si="19"/>
        <v>0</v>
      </c>
      <c r="U43" s="282">
        <f t="shared" si="20"/>
        <v>0</v>
      </c>
      <c r="V43" s="283">
        <f t="shared" si="21"/>
        <v>0</v>
      </c>
      <c r="W43" s="433"/>
      <c r="X43" s="434"/>
      <c r="Y43" s="435"/>
      <c r="Z43" s="436"/>
      <c r="AA43" s="434"/>
      <c r="AB43" s="434"/>
      <c r="AC43" s="433"/>
      <c r="AD43" s="434"/>
      <c r="AE43" s="435"/>
      <c r="AF43" s="433"/>
      <c r="AG43" s="434"/>
      <c r="AH43" s="435"/>
      <c r="AI43" s="433"/>
      <c r="AJ43" s="434"/>
      <c r="AK43" s="434"/>
      <c r="AL43" s="437"/>
      <c r="AM43" s="438"/>
      <c r="AN43" s="439"/>
      <c r="AO43" s="379"/>
      <c r="AP43" s="258"/>
      <c r="AQ43" s="259"/>
      <c r="AR43" s="260"/>
      <c r="AS43" s="336"/>
    </row>
    <row r="44" spans="1:45" s="188" customFormat="1" ht="15.5" hidden="1" x14ac:dyDescent="0.35">
      <c r="A44" s="367" t="s">
        <v>140</v>
      </c>
      <c r="B44" s="368"/>
      <c r="C44" s="368"/>
      <c r="D44" s="369"/>
      <c r="E44" s="369"/>
      <c r="F44" s="369"/>
      <c r="G44" s="370"/>
      <c r="H44" s="369"/>
      <c r="I44" s="369"/>
      <c r="J44" s="368"/>
      <c r="K44" s="369"/>
      <c r="L44" s="369"/>
      <c r="M44" s="369"/>
      <c r="N44" s="369"/>
      <c r="O44" s="369"/>
      <c r="P44" s="371">
        <f t="shared" si="1"/>
        <v>0</v>
      </c>
      <c r="Q44" s="372">
        <f t="shared" si="6"/>
        <v>0</v>
      </c>
      <c r="R44" s="373">
        <f t="shared" si="11"/>
        <v>0</v>
      </c>
      <c r="S44" s="373">
        <f t="shared" si="12"/>
        <v>0</v>
      </c>
      <c r="T44" s="373">
        <f t="shared" si="13"/>
        <v>0</v>
      </c>
      <c r="U44" s="374">
        <f t="shared" si="14"/>
        <v>0</v>
      </c>
      <c r="V44" s="375">
        <f t="shared" si="10"/>
        <v>0</v>
      </c>
      <c r="W44" s="440"/>
      <c r="X44" s="441"/>
      <c r="Y44" s="442"/>
      <c r="Z44" s="443"/>
      <c r="AA44" s="441"/>
      <c r="AB44" s="441"/>
      <c r="AC44" s="440"/>
      <c r="AD44" s="441"/>
      <c r="AE44" s="442"/>
      <c r="AF44" s="440"/>
      <c r="AG44" s="441"/>
      <c r="AH44" s="442"/>
      <c r="AI44" s="440"/>
      <c r="AJ44" s="441"/>
      <c r="AK44" s="441"/>
      <c r="AL44" s="444"/>
      <c r="AM44" s="445"/>
      <c r="AN44" s="446"/>
      <c r="AO44" s="381"/>
      <c r="AP44" s="376"/>
      <c r="AQ44" s="377"/>
      <c r="AR44" s="378"/>
      <c r="AS44" s="382"/>
    </row>
    <row r="45" spans="1:45" ht="73" customHeight="1" x14ac:dyDescent="0.35">
      <c r="A45" s="461" t="s">
        <v>141</v>
      </c>
      <c r="B45" s="368" t="s">
        <v>142</v>
      </c>
      <c r="C45" s="368"/>
      <c r="D45" s="369" t="s">
        <v>143</v>
      </c>
      <c r="E45" s="369" t="s">
        <v>97</v>
      </c>
      <c r="F45" s="369" t="s">
        <v>144</v>
      </c>
      <c r="G45" s="370" t="s">
        <v>99</v>
      </c>
      <c r="H45" s="370" t="s">
        <v>145</v>
      </c>
      <c r="I45" s="370" t="s">
        <v>146</v>
      </c>
      <c r="J45" s="462" t="s">
        <v>147</v>
      </c>
      <c r="K45" s="370" t="s">
        <v>148</v>
      </c>
      <c r="L45" s="370"/>
      <c r="M45" s="370" t="s">
        <v>149</v>
      </c>
      <c r="N45" s="370" t="s">
        <v>150</v>
      </c>
      <c r="O45" s="370" t="s">
        <v>104</v>
      </c>
      <c r="P45" s="269">
        <f>SUM(Q45:V45)</f>
        <v>151319</v>
      </c>
      <c r="Q45" s="270">
        <f t="shared" si="6"/>
        <v>0</v>
      </c>
      <c r="R45" s="281">
        <f t="shared" si="11"/>
        <v>151319</v>
      </c>
      <c r="S45" s="281">
        <f t="shared" si="12"/>
        <v>0</v>
      </c>
      <c r="T45" s="281">
        <f t="shared" si="13"/>
        <v>0</v>
      </c>
      <c r="U45" s="282">
        <f t="shared" si="14"/>
        <v>0</v>
      </c>
      <c r="V45" s="283">
        <f t="shared" si="10"/>
        <v>0</v>
      </c>
      <c r="W45" s="447"/>
      <c r="X45" s="448"/>
      <c r="Y45" s="439"/>
      <c r="Z45" s="743">
        <v>125000</v>
      </c>
      <c r="AA45" s="744">
        <v>26319</v>
      </c>
      <c r="AB45" s="744"/>
      <c r="AC45" s="745"/>
      <c r="AD45" s="744"/>
      <c r="AE45" s="741"/>
      <c r="AF45" s="745"/>
      <c r="AG45" s="744"/>
      <c r="AH45" s="741"/>
      <c r="AI45" s="745"/>
      <c r="AJ45" s="744"/>
      <c r="AK45" s="744"/>
      <c r="AL45" s="739"/>
      <c r="AM45" s="740"/>
      <c r="AN45" s="741"/>
      <c r="AO45" s="383" t="s">
        <v>151</v>
      </c>
      <c r="AP45" s="258" t="s">
        <v>106</v>
      </c>
      <c r="AQ45" s="263"/>
      <c r="AR45" s="262"/>
      <c r="AS45" s="380"/>
    </row>
    <row r="46" spans="1:45" ht="73" customHeight="1" x14ac:dyDescent="0.35">
      <c r="A46" s="461" t="s">
        <v>141</v>
      </c>
      <c r="B46" s="368" t="s">
        <v>142</v>
      </c>
      <c r="C46" s="368"/>
      <c r="D46" s="369" t="s">
        <v>143</v>
      </c>
      <c r="E46" s="369" t="s">
        <v>97</v>
      </c>
      <c r="F46" s="369" t="s">
        <v>152</v>
      </c>
      <c r="G46" s="370" t="s">
        <v>99</v>
      </c>
      <c r="H46" s="370" t="s">
        <v>145</v>
      </c>
      <c r="I46" s="370" t="s">
        <v>153</v>
      </c>
      <c r="J46" s="462" t="s">
        <v>147</v>
      </c>
      <c r="K46" s="370" t="s">
        <v>154</v>
      </c>
      <c r="L46" s="370"/>
      <c r="M46" s="370" t="s">
        <v>149</v>
      </c>
      <c r="N46" s="370" t="s">
        <v>155</v>
      </c>
      <c r="O46" s="370" t="s">
        <v>104</v>
      </c>
      <c r="P46" s="269">
        <f t="shared" si="1"/>
        <v>1332773</v>
      </c>
      <c r="Q46" s="270">
        <f t="shared" si="6"/>
        <v>0</v>
      </c>
      <c r="R46" s="281">
        <f t="shared" si="11"/>
        <v>258846</v>
      </c>
      <c r="S46" s="281">
        <f t="shared" si="12"/>
        <v>593534</v>
      </c>
      <c r="T46" s="281">
        <f t="shared" si="13"/>
        <v>480393</v>
      </c>
      <c r="U46" s="282">
        <f t="shared" si="14"/>
        <v>0</v>
      </c>
      <c r="V46" s="283">
        <f t="shared" si="10"/>
        <v>0</v>
      </c>
      <c r="W46" s="447"/>
      <c r="X46" s="448"/>
      <c r="Y46" s="439"/>
      <c r="Z46" s="743">
        <v>201300</v>
      </c>
      <c r="AA46" s="744">
        <v>57546</v>
      </c>
      <c r="AB46" s="744"/>
      <c r="AC46" s="745">
        <v>502200</v>
      </c>
      <c r="AD46" s="744">
        <v>91334</v>
      </c>
      <c r="AE46" s="741"/>
      <c r="AF46" s="745">
        <v>428580</v>
      </c>
      <c r="AG46" s="744">
        <v>51813</v>
      </c>
      <c r="AH46" s="741"/>
      <c r="AI46" s="745"/>
      <c r="AJ46" s="744"/>
      <c r="AK46" s="744"/>
      <c r="AL46" s="739"/>
      <c r="AM46" s="740"/>
      <c r="AN46" s="741"/>
      <c r="AO46" s="383" t="s">
        <v>156</v>
      </c>
      <c r="AP46" s="258" t="s">
        <v>136</v>
      </c>
      <c r="AQ46" s="263" t="s">
        <v>157</v>
      </c>
      <c r="AR46" s="262"/>
      <c r="AS46" s="380"/>
    </row>
    <row r="47" spans="1:45" ht="73" customHeight="1" x14ac:dyDescent="0.35">
      <c r="A47" s="461" t="s">
        <v>141</v>
      </c>
      <c r="B47" s="368" t="s">
        <v>142</v>
      </c>
      <c r="C47" s="368"/>
      <c r="D47" s="369" t="s">
        <v>143</v>
      </c>
      <c r="E47" s="369" t="s">
        <v>97</v>
      </c>
      <c r="F47" s="370" t="s">
        <v>158</v>
      </c>
      <c r="G47" s="370" t="s">
        <v>121</v>
      </c>
      <c r="H47" s="370" t="s">
        <v>145</v>
      </c>
      <c r="I47" s="462" t="s">
        <v>159</v>
      </c>
      <c r="J47" s="462" t="s">
        <v>147</v>
      </c>
      <c r="K47" s="462" t="s">
        <v>160</v>
      </c>
      <c r="L47" s="370"/>
      <c r="M47" s="370" t="s">
        <v>149</v>
      </c>
      <c r="N47" s="370"/>
      <c r="O47" s="369" t="s">
        <v>104</v>
      </c>
      <c r="P47" s="269">
        <f t="shared" si="1"/>
        <v>10000</v>
      </c>
      <c r="Q47" s="270">
        <f t="shared" si="6"/>
        <v>0</v>
      </c>
      <c r="R47" s="281">
        <f t="shared" si="11"/>
        <v>0</v>
      </c>
      <c r="S47" s="281">
        <f t="shared" si="12"/>
        <v>0</v>
      </c>
      <c r="T47" s="281">
        <f t="shared" si="13"/>
        <v>10000</v>
      </c>
      <c r="U47" s="282">
        <f t="shared" si="14"/>
        <v>0</v>
      </c>
      <c r="V47" s="283">
        <f t="shared" si="10"/>
        <v>0</v>
      </c>
      <c r="W47" s="447"/>
      <c r="X47" s="448"/>
      <c r="Y47" s="439"/>
      <c r="Z47" s="743"/>
      <c r="AA47" s="744"/>
      <c r="AB47" s="741"/>
      <c r="AC47" s="743"/>
      <c r="AD47" s="744"/>
      <c r="AE47" s="741"/>
      <c r="AF47" s="743">
        <v>10000</v>
      </c>
      <c r="AG47" s="744"/>
      <c r="AH47" s="741"/>
      <c r="AI47" s="743"/>
      <c r="AJ47" s="744"/>
      <c r="AK47" s="744"/>
      <c r="AL47" s="739"/>
      <c r="AM47" s="740"/>
      <c r="AN47" s="741"/>
      <c r="AO47" s="383" t="s">
        <v>151</v>
      </c>
      <c r="AP47" s="258" t="s">
        <v>106</v>
      </c>
      <c r="AQ47" s="263"/>
      <c r="AR47" s="262"/>
      <c r="AS47" s="380"/>
    </row>
    <row r="48" spans="1:45" ht="73" customHeight="1" x14ac:dyDescent="0.35">
      <c r="A48" s="461" t="s">
        <v>141</v>
      </c>
      <c r="B48" s="368" t="s">
        <v>142</v>
      </c>
      <c r="C48" s="368"/>
      <c r="D48" s="369" t="s">
        <v>143</v>
      </c>
      <c r="E48" s="369" t="s">
        <v>97</v>
      </c>
      <c r="F48" s="370" t="s">
        <v>152</v>
      </c>
      <c r="G48" s="463" t="s">
        <v>99</v>
      </c>
      <c r="H48" s="370" t="s">
        <v>145</v>
      </c>
      <c r="I48" s="462" t="s">
        <v>161</v>
      </c>
      <c r="J48" s="462" t="s">
        <v>147</v>
      </c>
      <c r="K48" s="462">
        <v>2027</v>
      </c>
      <c r="L48" s="370"/>
      <c r="M48" s="370" t="s">
        <v>149</v>
      </c>
      <c r="N48" s="370" t="s">
        <v>155</v>
      </c>
      <c r="O48" s="369" t="s">
        <v>104</v>
      </c>
      <c r="P48" s="269">
        <f t="shared" si="1"/>
        <v>383199</v>
      </c>
      <c r="Q48" s="270">
        <f t="shared" si="6"/>
        <v>0</v>
      </c>
      <c r="R48" s="281">
        <f t="shared" si="11"/>
        <v>0</v>
      </c>
      <c r="S48" s="281">
        <f t="shared" si="12"/>
        <v>0</v>
      </c>
      <c r="T48" s="281">
        <f t="shared" si="13"/>
        <v>0</v>
      </c>
      <c r="U48" s="282">
        <f t="shared" si="14"/>
        <v>383199</v>
      </c>
      <c r="V48" s="283">
        <f t="shared" si="10"/>
        <v>0</v>
      </c>
      <c r="W48" s="447"/>
      <c r="X48" s="448"/>
      <c r="Y48" s="439"/>
      <c r="Z48" s="743"/>
      <c r="AA48" s="744"/>
      <c r="AB48" s="741"/>
      <c r="AC48" s="743"/>
      <c r="AD48" s="744"/>
      <c r="AE48" s="741"/>
      <c r="AF48" s="743"/>
      <c r="AG48" s="744"/>
      <c r="AH48" s="741"/>
      <c r="AI48" s="743">
        <v>300800</v>
      </c>
      <c r="AJ48" s="744">
        <v>82399</v>
      </c>
      <c r="AK48" s="744"/>
      <c r="AL48" s="739"/>
      <c r="AM48" s="740"/>
      <c r="AN48" s="741"/>
      <c r="AO48" s="383" t="s">
        <v>151</v>
      </c>
      <c r="AP48" s="258" t="s">
        <v>136</v>
      </c>
      <c r="AQ48" s="263" t="s">
        <v>157</v>
      </c>
      <c r="AR48" s="262"/>
      <c r="AS48" s="380"/>
    </row>
    <row r="49" spans="1:45" ht="73" customHeight="1" x14ac:dyDescent="0.35">
      <c r="A49" s="461" t="s">
        <v>141</v>
      </c>
      <c r="B49" s="368" t="s">
        <v>142</v>
      </c>
      <c r="C49" s="368"/>
      <c r="D49" s="369" t="s">
        <v>143</v>
      </c>
      <c r="E49" s="369" t="s">
        <v>97</v>
      </c>
      <c r="F49" s="370" t="s">
        <v>144</v>
      </c>
      <c r="G49" s="463" t="s">
        <v>99</v>
      </c>
      <c r="H49" s="370" t="s">
        <v>162</v>
      </c>
      <c r="I49" s="462" t="s">
        <v>163</v>
      </c>
      <c r="J49" s="462" t="s">
        <v>164</v>
      </c>
      <c r="K49" s="462" t="s">
        <v>165</v>
      </c>
      <c r="L49" s="370"/>
      <c r="M49" s="370" t="s">
        <v>166</v>
      </c>
      <c r="N49" s="370" t="s">
        <v>155</v>
      </c>
      <c r="O49" s="369" t="s">
        <v>104</v>
      </c>
      <c r="P49" s="269">
        <f t="shared" si="1"/>
        <v>898538</v>
      </c>
      <c r="Q49" s="270">
        <f t="shared" si="6"/>
        <v>0</v>
      </c>
      <c r="R49" s="281">
        <f t="shared" si="11"/>
        <v>380157</v>
      </c>
      <c r="S49" s="281">
        <f t="shared" si="12"/>
        <v>471613</v>
      </c>
      <c r="T49" s="281">
        <f t="shared" si="13"/>
        <v>33798</v>
      </c>
      <c r="U49" s="282">
        <f t="shared" si="14"/>
        <v>12970</v>
      </c>
      <c r="V49" s="283">
        <f t="shared" si="10"/>
        <v>0</v>
      </c>
      <c r="W49" s="447"/>
      <c r="X49" s="448"/>
      <c r="Y49" s="439"/>
      <c r="Z49" s="743">
        <f>125000+302800-100000</f>
        <v>327800</v>
      </c>
      <c r="AA49" s="744">
        <v>52357</v>
      </c>
      <c r="AB49" s="741"/>
      <c r="AC49" s="743">
        <f>323360+100000</f>
        <v>423360</v>
      </c>
      <c r="AD49" s="744">
        <v>48253</v>
      </c>
      <c r="AE49" s="741"/>
      <c r="AF49" s="743"/>
      <c r="AG49" s="744">
        <v>33798</v>
      </c>
      <c r="AH49" s="741"/>
      <c r="AI49" s="743"/>
      <c r="AJ49" s="744">
        <v>12970</v>
      </c>
      <c r="AK49" s="744"/>
      <c r="AL49" s="739"/>
      <c r="AM49" s="740"/>
      <c r="AN49" s="741"/>
      <c r="AO49" s="383" t="s">
        <v>151</v>
      </c>
      <c r="AP49" s="258" t="s">
        <v>136</v>
      </c>
      <c r="AQ49" s="263" t="s">
        <v>167</v>
      </c>
      <c r="AR49" s="262"/>
      <c r="AS49" s="380"/>
    </row>
    <row r="50" spans="1:45" ht="73" customHeight="1" x14ac:dyDescent="0.35">
      <c r="A50" s="461" t="s">
        <v>141</v>
      </c>
      <c r="B50" s="368" t="s">
        <v>142</v>
      </c>
      <c r="C50" s="368"/>
      <c r="D50" s="369" t="s">
        <v>143</v>
      </c>
      <c r="E50" s="369" t="s">
        <v>97</v>
      </c>
      <c r="F50" s="370" t="s">
        <v>158</v>
      </c>
      <c r="G50" s="463" t="s">
        <v>99</v>
      </c>
      <c r="H50" s="370" t="s">
        <v>168</v>
      </c>
      <c r="I50" s="462" t="s">
        <v>169</v>
      </c>
      <c r="J50" s="462" t="s">
        <v>170</v>
      </c>
      <c r="K50" s="462" t="s">
        <v>171</v>
      </c>
      <c r="L50" s="370"/>
      <c r="M50" s="370" t="s">
        <v>172</v>
      </c>
      <c r="N50" s="370" t="s">
        <v>155</v>
      </c>
      <c r="O50" s="369" t="s">
        <v>104</v>
      </c>
      <c r="P50" s="269">
        <f t="shared" si="1"/>
        <v>1735554</v>
      </c>
      <c r="Q50" s="270">
        <f t="shared" ref="Q50:Q60" si="22">SUM(W50:Y50)</f>
        <v>0</v>
      </c>
      <c r="R50" s="281">
        <f t="shared" ref="R50:R60" si="23">SUM(Z50:AB50)</f>
        <v>556173</v>
      </c>
      <c r="S50" s="281">
        <f t="shared" ref="S50:S60" si="24">SUM(AC50:AE50)</f>
        <v>774022</v>
      </c>
      <c r="T50" s="281">
        <f t="shared" ref="T50:T60" si="25">SUM(AF50:AH50)</f>
        <v>405359</v>
      </c>
      <c r="U50" s="282">
        <f t="shared" ref="U50:U60" si="26">SUM(AI50:AK50)</f>
        <v>0</v>
      </c>
      <c r="V50" s="283">
        <f t="shared" ref="V50:V60" si="27">SUM(AL50:AN50)</f>
        <v>0</v>
      </c>
      <c r="W50" s="447"/>
      <c r="X50" s="448">
        <v>0</v>
      </c>
      <c r="Y50" s="439">
        <v>0</v>
      </c>
      <c r="Z50" s="743">
        <f>128000+610000-238000</f>
        <v>500000</v>
      </c>
      <c r="AA50" s="744">
        <v>56173</v>
      </c>
      <c r="AB50" s="744">
        <v>0</v>
      </c>
      <c r="AC50" s="746">
        <f>238000+464200</f>
        <v>702200</v>
      </c>
      <c r="AD50" s="747">
        <v>71822</v>
      </c>
      <c r="AE50" s="748">
        <v>0</v>
      </c>
      <c r="AF50" s="746">
        <v>331540</v>
      </c>
      <c r="AG50" s="747">
        <v>73819</v>
      </c>
      <c r="AH50" s="748">
        <v>0</v>
      </c>
      <c r="AI50" s="746"/>
      <c r="AJ50" s="747"/>
      <c r="AK50" s="749">
        <v>0</v>
      </c>
      <c r="AL50" s="746"/>
      <c r="AM50" s="747"/>
      <c r="AN50" s="748"/>
      <c r="AO50" s="383" t="s">
        <v>173</v>
      </c>
      <c r="AP50" s="258" t="s">
        <v>136</v>
      </c>
      <c r="AQ50" s="263" t="s">
        <v>167</v>
      </c>
      <c r="AR50" s="262"/>
      <c r="AS50" s="380"/>
    </row>
    <row r="51" spans="1:45" ht="73" customHeight="1" x14ac:dyDescent="0.35">
      <c r="A51" s="461" t="s">
        <v>174</v>
      </c>
      <c r="B51" s="368" t="s">
        <v>175</v>
      </c>
      <c r="C51" s="368"/>
      <c r="D51" s="369" t="s">
        <v>176</v>
      </c>
      <c r="E51" s="369" t="s">
        <v>97</v>
      </c>
      <c r="F51" s="370" t="s">
        <v>144</v>
      </c>
      <c r="G51" s="463" t="s">
        <v>99</v>
      </c>
      <c r="H51" s="370" t="s">
        <v>177</v>
      </c>
      <c r="I51" s="462" t="s">
        <v>178</v>
      </c>
      <c r="J51" s="462" t="s">
        <v>179</v>
      </c>
      <c r="K51" s="462" t="s">
        <v>180</v>
      </c>
      <c r="L51" s="370"/>
      <c r="M51" s="370" t="s">
        <v>181</v>
      </c>
      <c r="N51" s="370"/>
      <c r="O51" s="369" t="s">
        <v>104</v>
      </c>
      <c r="P51" s="269">
        <f t="shared" si="1"/>
        <v>844973</v>
      </c>
      <c r="Q51" s="270">
        <f t="shared" si="22"/>
        <v>0</v>
      </c>
      <c r="R51" s="281">
        <f t="shared" si="23"/>
        <v>79666</v>
      </c>
      <c r="S51" s="281">
        <f t="shared" si="24"/>
        <v>414293</v>
      </c>
      <c r="T51" s="281">
        <f t="shared" si="25"/>
        <v>267030</v>
      </c>
      <c r="U51" s="282">
        <f t="shared" si="26"/>
        <v>83984</v>
      </c>
      <c r="V51" s="283">
        <f t="shared" si="27"/>
        <v>0</v>
      </c>
      <c r="W51" s="447"/>
      <c r="X51" s="448"/>
      <c r="Y51" s="439"/>
      <c r="Z51" s="743">
        <v>30500</v>
      </c>
      <c r="AA51" s="744">
        <v>49166</v>
      </c>
      <c r="AB51" s="744"/>
      <c r="AC51" s="746">
        <f>183000+186000-30500</f>
        <v>338500</v>
      </c>
      <c r="AD51" s="747">
        <v>75793</v>
      </c>
      <c r="AE51" s="748"/>
      <c r="AF51" s="746">
        <v>202160</v>
      </c>
      <c r="AG51" s="747">
        <v>64870</v>
      </c>
      <c r="AH51" s="748"/>
      <c r="AI51" s="746">
        <v>50350</v>
      </c>
      <c r="AJ51" s="747">
        <v>33634</v>
      </c>
      <c r="AK51" s="749"/>
      <c r="AL51" s="746"/>
      <c r="AM51" s="747"/>
      <c r="AN51" s="748"/>
      <c r="AO51" s="383" t="s">
        <v>182</v>
      </c>
      <c r="AP51" s="258" t="s">
        <v>136</v>
      </c>
      <c r="AQ51" s="263" t="s">
        <v>183</v>
      </c>
      <c r="AR51" s="262"/>
      <c r="AS51" s="380"/>
    </row>
    <row r="52" spans="1:45" ht="73" customHeight="1" x14ac:dyDescent="0.35">
      <c r="A52" s="461" t="s">
        <v>184</v>
      </c>
      <c r="B52" s="368" t="s">
        <v>185</v>
      </c>
      <c r="C52" s="368"/>
      <c r="D52" s="369" t="s">
        <v>186</v>
      </c>
      <c r="E52" s="369" t="s">
        <v>97</v>
      </c>
      <c r="F52" s="370" t="s">
        <v>144</v>
      </c>
      <c r="G52" s="463" t="s">
        <v>99</v>
      </c>
      <c r="H52" s="370"/>
      <c r="I52" s="462" t="s">
        <v>187</v>
      </c>
      <c r="J52" s="462" t="s">
        <v>188</v>
      </c>
      <c r="K52" s="462" t="s">
        <v>709</v>
      </c>
      <c r="L52" s="370"/>
      <c r="M52" s="370" t="s">
        <v>189</v>
      </c>
      <c r="N52" s="370"/>
      <c r="O52" s="369" t="s">
        <v>104</v>
      </c>
      <c r="P52" s="269">
        <f t="shared" si="1"/>
        <v>552573</v>
      </c>
      <c r="Q52" s="270">
        <f t="shared" si="22"/>
        <v>0</v>
      </c>
      <c r="R52" s="281">
        <f t="shared" si="23"/>
        <v>235767</v>
      </c>
      <c r="S52" s="281">
        <f t="shared" si="24"/>
        <v>303276</v>
      </c>
      <c r="T52" s="281">
        <f t="shared" si="25"/>
        <v>10240</v>
      </c>
      <c r="U52" s="282">
        <f t="shared" si="26"/>
        <v>3290</v>
      </c>
      <c r="V52" s="283">
        <f t="shared" si="27"/>
        <v>0</v>
      </c>
      <c r="W52" s="447"/>
      <c r="X52" s="448"/>
      <c r="Y52" s="439"/>
      <c r="Z52" s="743">
        <v>157040</v>
      </c>
      <c r="AA52" s="744">
        <v>78727</v>
      </c>
      <c r="AB52" s="744"/>
      <c r="AC52" s="746">
        <f>97480+253430-157040</f>
        <v>193870</v>
      </c>
      <c r="AD52" s="747">
        <v>109406</v>
      </c>
      <c r="AE52" s="748"/>
      <c r="AF52" s="746">
        <v>10240</v>
      </c>
      <c r="AG52" s="747"/>
      <c r="AH52" s="748"/>
      <c r="AI52" s="746">
        <v>3290</v>
      </c>
      <c r="AJ52" s="747"/>
      <c r="AK52" s="749"/>
      <c r="AL52" s="746"/>
      <c r="AM52" s="747"/>
      <c r="AN52" s="748"/>
      <c r="AO52" s="383" t="s">
        <v>190</v>
      </c>
      <c r="AP52" s="258" t="s">
        <v>136</v>
      </c>
      <c r="AQ52" s="263" t="s">
        <v>191</v>
      </c>
      <c r="AR52" s="262"/>
      <c r="AS52" s="380"/>
    </row>
    <row r="53" spans="1:45" ht="73" customHeight="1" x14ac:dyDescent="0.35">
      <c r="A53" s="461" t="s">
        <v>184</v>
      </c>
      <c r="B53" s="368" t="s">
        <v>185</v>
      </c>
      <c r="C53" s="368"/>
      <c r="D53" s="369" t="s">
        <v>186</v>
      </c>
      <c r="E53" s="369" t="s">
        <v>97</v>
      </c>
      <c r="F53" s="370" t="s">
        <v>144</v>
      </c>
      <c r="G53" s="463" t="s">
        <v>99</v>
      </c>
      <c r="H53" s="370"/>
      <c r="I53" s="462" t="s">
        <v>192</v>
      </c>
      <c r="J53" s="462" t="s">
        <v>193</v>
      </c>
      <c r="K53" s="462" t="s">
        <v>708</v>
      </c>
      <c r="L53" s="370"/>
      <c r="M53" s="370" t="s">
        <v>194</v>
      </c>
      <c r="N53" s="370"/>
      <c r="O53" s="369" t="s">
        <v>104</v>
      </c>
      <c r="P53" s="269">
        <f t="shared" si="1"/>
        <v>624691</v>
      </c>
      <c r="Q53" s="270">
        <f t="shared" si="22"/>
        <v>0</v>
      </c>
      <c r="R53" s="281">
        <f t="shared" si="23"/>
        <v>370870</v>
      </c>
      <c r="S53" s="281">
        <f t="shared" si="24"/>
        <v>178721</v>
      </c>
      <c r="T53" s="281">
        <f t="shared" si="25"/>
        <v>37250</v>
      </c>
      <c r="U53" s="282">
        <f t="shared" si="26"/>
        <v>37850</v>
      </c>
      <c r="V53" s="283">
        <f t="shared" si="27"/>
        <v>0</v>
      </c>
      <c r="W53" s="447"/>
      <c r="X53" s="448"/>
      <c r="Y53" s="439"/>
      <c r="Z53" s="743">
        <v>323840</v>
      </c>
      <c r="AA53" s="744">
        <v>47030</v>
      </c>
      <c r="AB53" s="744"/>
      <c r="AC53" s="746">
        <f>61086+412650-323840</f>
        <v>149896</v>
      </c>
      <c r="AD53" s="747">
        <v>28825</v>
      </c>
      <c r="AE53" s="748"/>
      <c r="AF53" s="746">
        <v>37250</v>
      </c>
      <c r="AG53" s="747"/>
      <c r="AH53" s="748"/>
      <c r="AI53" s="746">
        <v>37850</v>
      </c>
      <c r="AJ53" s="747"/>
      <c r="AK53" s="749"/>
      <c r="AL53" s="746"/>
      <c r="AM53" s="747"/>
      <c r="AN53" s="748"/>
      <c r="AO53" s="383" t="s">
        <v>470</v>
      </c>
      <c r="AP53" s="258" t="s">
        <v>136</v>
      </c>
      <c r="AQ53" s="263" t="s">
        <v>196</v>
      </c>
      <c r="AR53" s="262"/>
      <c r="AS53" s="380"/>
    </row>
    <row r="54" spans="1:45" s="188" customFormat="1" ht="58" hidden="1" x14ac:dyDescent="0.35">
      <c r="A54" s="461" t="s">
        <v>197</v>
      </c>
      <c r="B54" s="368" t="s">
        <v>118</v>
      </c>
      <c r="C54" s="368"/>
      <c r="D54" s="369"/>
      <c r="E54" s="369"/>
      <c r="F54" s="370" t="s">
        <v>112</v>
      </c>
      <c r="G54" s="463" t="s">
        <v>133</v>
      </c>
      <c r="H54" s="370"/>
      <c r="I54" s="462"/>
      <c r="J54" s="462" t="s">
        <v>198</v>
      </c>
      <c r="K54" s="462"/>
      <c r="L54" s="370"/>
      <c r="M54" s="370"/>
      <c r="N54" s="370"/>
      <c r="O54" s="369" t="s">
        <v>139</v>
      </c>
      <c r="P54" s="269">
        <f t="shared" si="1"/>
        <v>100000</v>
      </c>
      <c r="Q54" s="270">
        <f t="shared" si="22"/>
        <v>0</v>
      </c>
      <c r="R54" s="281">
        <f t="shared" si="23"/>
        <v>100000</v>
      </c>
      <c r="S54" s="281">
        <f t="shared" si="24"/>
        <v>0</v>
      </c>
      <c r="T54" s="281">
        <f t="shared" si="25"/>
        <v>0</v>
      </c>
      <c r="U54" s="282">
        <f t="shared" si="26"/>
        <v>0</v>
      </c>
      <c r="V54" s="283">
        <f t="shared" si="27"/>
        <v>0</v>
      </c>
      <c r="W54" s="447"/>
      <c r="X54" s="448"/>
      <c r="Y54" s="439"/>
      <c r="Z54" s="449">
        <v>100000</v>
      </c>
      <c r="AA54" s="448"/>
      <c r="AB54" s="448"/>
      <c r="AC54" s="454"/>
      <c r="AD54" s="455"/>
      <c r="AE54" s="456"/>
      <c r="AF54" s="454"/>
      <c r="AG54" s="455"/>
      <c r="AH54" s="456"/>
      <c r="AI54" s="454"/>
      <c r="AJ54" s="455"/>
      <c r="AK54" s="457"/>
      <c r="AL54" s="454"/>
      <c r="AM54" s="455"/>
      <c r="AN54" s="456"/>
      <c r="AO54" s="383"/>
      <c r="AP54" s="258"/>
      <c r="AQ54" s="263"/>
      <c r="AR54" s="260"/>
      <c r="AS54" s="336"/>
    </row>
    <row r="55" spans="1:45" s="188" customFormat="1" ht="58" hidden="1" x14ac:dyDescent="0.35">
      <c r="A55" s="461" t="s">
        <v>197</v>
      </c>
      <c r="B55" s="368" t="s">
        <v>118</v>
      </c>
      <c r="C55" s="368"/>
      <c r="D55" s="369"/>
      <c r="E55" s="369"/>
      <c r="F55" s="370" t="s">
        <v>112</v>
      </c>
      <c r="G55" s="463" t="s">
        <v>133</v>
      </c>
      <c r="H55" s="370"/>
      <c r="I55" s="462"/>
      <c r="J55" s="462" t="s">
        <v>199</v>
      </c>
      <c r="K55" s="462"/>
      <c r="L55" s="370"/>
      <c r="M55" s="370"/>
      <c r="N55" s="370"/>
      <c r="O55" s="369" t="s">
        <v>135</v>
      </c>
      <c r="P55" s="269">
        <f t="shared" ref="P55" si="28">SUM(Q55:V55)</f>
        <v>3739373</v>
      </c>
      <c r="Q55" s="270">
        <f t="shared" ref="Q55" si="29">SUM(W55:Y55)</f>
        <v>0</v>
      </c>
      <c r="R55" s="281">
        <f t="shared" ref="R55" si="30">SUM(Z55:AB55)</f>
        <v>3739373</v>
      </c>
      <c r="S55" s="281">
        <f t="shared" ref="S55" si="31">SUM(AC55:AE55)</f>
        <v>0</v>
      </c>
      <c r="T55" s="281">
        <f t="shared" ref="T55" si="32">SUM(AF55:AH55)</f>
        <v>0</v>
      </c>
      <c r="U55" s="282">
        <f t="shared" ref="U55" si="33">SUM(AI55:AK55)</f>
        <v>0</v>
      </c>
      <c r="V55" s="283">
        <f t="shared" ref="V55" si="34">SUM(AL55:AN55)</f>
        <v>0</v>
      </c>
      <c r="W55" s="447"/>
      <c r="X55" s="448"/>
      <c r="Y55" s="439"/>
      <c r="Z55" s="449">
        <v>2675506</v>
      </c>
      <c r="AA55" s="448">
        <v>1063867</v>
      </c>
      <c r="AB55" s="448"/>
      <c r="AC55" s="454"/>
      <c r="AD55" s="455"/>
      <c r="AE55" s="456"/>
      <c r="AF55" s="454"/>
      <c r="AG55" s="455"/>
      <c r="AH55" s="456"/>
      <c r="AI55" s="454"/>
      <c r="AJ55" s="455"/>
      <c r="AK55" s="457"/>
      <c r="AL55" s="454"/>
      <c r="AM55" s="455"/>
      <c r="AN55" s="456"/>
      <c r="AO55" s="383"/>
      <c r="AP55" s="258"/>
      <c r="AQ55" s="263"/>
      <c r="AR55" s="260"/>
      <c r="AS55" s="336"/>
    </row>
    <row r="56" spans="1:45" ht="73" customHeight="1" x14ac:dyDescent="0.35">
      <c r="A56" s="461" t="s">
        <v>197</v>
      </c>
      <c r="B56" s="368" t="s">
        <v>118</v>
      </c>
      <c r="C56" s="368"/>
      <c r="D56" s="369" t="s">
        <v>200</v>
      </c>
      <c r="E56" s="369" t="s">
        <v>97</v>
      </c>
      <c r="F56" s="370" t="s">
        <v>201</v>
      </c>
      <c r="G56" s="463" t="s">
        <v>99</v>
      </c>
      <c r="H56" s="370"/>
      <c r="I56" s="462" t="s">
        <v>202</v>
      </c>
      <c r="J56" s="462" t="s">
        <v>203</v>
      </c>
      <c r="K56" s="462" t="s">
        <v>204</v>
      </c>
      <c r="L56" s="370"/>
      <c r="M56" s="370" t="s">
        <v>205</v>
      </c>
      <c r="N56" s="370" t="s">
        <v>206</v>
      </c>
      <c r="O56" s="369" t="s">
        <v>104</v>
      </c>
      <c r="P56" s="269">
        <f t="shared" si="1"/>
        <v>1411500</v>
      </c>
      <c r="Q56" s="270">
        <f t="shared" si="22"/>
        <v>0</v>
      </c>
      <c r="R56" s="281">
        <f t="shared" si="23"/>
        <v>600000</v>
      </c>
      <c r="S56" s="281">
        <f t="shared" si="24"/>
        <v>300000</v>
      </c>
      <c r="T56" s="281">
        <f t="shared" si="25"/>
        <v>511500</v>
      </c>
      <c r="U56" s="282">
        <f t="shared" si="26"/>
        <v>0</v>
      </c>
      <c r="V56" s="283">
        <f t="shared" si="27"/>
        <v>0</v>
      </c>
      <c r="W56" s="447">
        <v>0</v>
      </c>
      <c r="X56" s="448">
        <v>0</v>
      </c>
      <c r="Y56" s="439">
        <v>0</v>
      </c>
      <c r="Z56" s="743">
        <v>600000</v>
      </c>
      <c r="AA56" s="744"/>
      <c r="AB56" s="744">
        <v>0</v>
      </c>
      <c r="AC56" s="746">
        <v>300000</v>
      </c>
      <c r="AD56" s="747">
        <v>0</v>
      </c>
      <c r="AE56" s="748">
        <v>0</v>
      </c>
      <c r="AF56" s="746">
        <f>400000+65000+46500</f>
        <v>511500</v>
      </c>
      <c r="AG56" s="747">
        <v>0</v>
      </c>
      <c r="AH56" s="748">
        <v>0</v>
      </c>
      <c r="AI56" s="746">
        <v>0</v>
      </c>
      <c r="AJ56" s="747">
        <v>0</v>
      </c>
      <c r="AK56" s="749">
        <v>0</v>
      </c>
      <c r="AL56" s="746"/>
      <c r="AM56" s="747"/>
      <c r="AN56" s="748"/>
      <c r="AO56" s="383"/>
      <c r="AP56" s="258" t="s">
        <v>136</v>
      </c>
      <c r="AQ56" s="263" t="s">
        <v>207</v>
      </c>
      <c r="AR56" s="262"/>
      <c r="AS56" s="380"/>
    </row>
    <row r="57" spans="1:45" ht="73" customHeight="1" x14ac:dyDescent="0.35">
      <c r="A57" s="461" t="s">
        <v>208</v>
      </c>
      <c r="B57" s="368" t="s">
        <v>2</v>
      </c>
      <c r="C57" s="368"/>
      <c r="D57" s="369" t="s">
        <v>129</v>
      </c>
      <c r="E57" s="369" t="s">
        <v>97</v>
      </c>
      <c r="F57" s="370" t="s">
        <v>158</v>
      </c>
      <c r="G57" s="463" t="s">
        <v>133</v>
      </c>
      <c r="H57" s="370"/>
      <c r="I57" s="462" t="s">
        <v>209</v>
      </c>
      <c r="J57" s="462" t="s">
        <v>210</v>
      </c>
      <c r="K57" s="462" t="s">
        <v>211</v>
      </c>
      <c r="L57" s="370"/>
      <c r="M57" s="370"/>
      <c r="N57" s="370"/>
      <c r="O57" s="369" t="s">
        <v>104</v>
      </c>
      <c r="P57" s="269">
        <f t="shared" si="1"/>
        <v>748118.88459375</v>
      </c>
      <c r="Q57" s="270">
        <f t="shared" si="22"/>
        <v>0</v>
      </c>
      <c r="R57" s="281">
        <f t="shared" si="23"/>
        <v>123936</v>
      </c>
      <c r="S57" s="281">
        <f t="shared" si="24"/>
        <v>213936.75</v>
      </c>
      <c r="T57" s="281">
        <f t="shared" si="25"/>
        <v>130133.58750000001</v>
      </c>
      <c r="U57" s="282">
        <f t="shared" si="26"/>
        <v>136640.266875</v>
      </c>
      <c r="V57" s="283">
        <f t="shared" si="27"/>
        <v>143472.28021875001</v>
      </c>
      <c r="W57" s="447"/>
      <c r="X57" s="448"/>
      <c r="Y57" s="439"/>
      <c r="Z57" s="743"/>
      <c r="AA57" s="744">
        <v>63936</v>
      </c>
      <c r="AB57" s="744">
        <v>60000</v>
      </c>
      <c r="AC57" s="746"/>
      <c r="AD57" s="747">
        <f>118035*1.05</f>
        <v>123936.75</v>
      </c>
      <c r="AE57" s="748">
        <v>90000</v>
      </c>
      <c r="AF57" s="746"/>
      <c r="AG57" s="747">
        <f>AD57*1.05</f>
        <v>130133.58750000001</v>
      </c>
      <c r="AH57" s="748"/>
      <c r="AI57" s="746"/>
      <c r="AJ57" s="747">
        <f>AG57*1.05</f>
        <v>136640.266875</v>
      </c>
      <c r="AK57" s="749"/>
      <c r="AL57" s="746"/>
      <c r="AM57" s="747">
        <f>AJ57*1.05</f>
        <v>143472.28021875001</v>
      </c>
      <c r="AN57" s="748"/>
      <c r="AO57" s="383"/>
      <c r="AP57" s="258" t="s">
        <v>106</v>
      </c>
      <c r="AQ57" s="263"/>
      <c r="AR57" s="262"/>
      <c r="AS57" s="380"/>
    </row>
    <row r="58" spans="1:45" ht="73" customHeight="1" x14ac:dyDescent="0.35">
      <c r="A58" s="461" t="s">
        <v>197</v>
      </c>
      <c r="B58" s="368" t="s">
        <v>118</v>
      </c>
      <c r="C58" s="368"/>
      <c r="D58" s="369" t="s">
        <v>119</v>
      </c>
      <c r="E58" s="369" t="s">
        <v>97</v>
      </c>
      <c r="F58" s="370" t="s">
        <v>120</v>
      </c>
      <c r="G58" s="463" t="s">
        <v>121</v>
      </c>
      <c r="H58" s="370"/>
      <c r="I58" s="462" t="s">
        <v>122</v>
      </c>
      <c r="J58" s="462" t="s">
        <v>123</v>
      </c>
      <c r="K58" s="462" t="s">
        <v>124</v>
      </c>
      <c r="L58" s="370"/>
      <c r="M58" s="370"/>
      <c r="N58" s="370"/>
      <c r="O58" s="369" t="s">
        <v>104</v>
      </c>
      <c r="P58" s="269">
        <f t="shared" si="1"/>
        <v>227176.53766250008</v>
      </c>
      <c r="Q58" s="270">
        <f t="shared" si="22"/>
        <v>9323</v>
      </c>
      <c r="R58" s="281">
        <f t="shared" si="23"/>
        <v>39426</v>
      </c>
      <c r="S58" s="281">
        <f t="shared" si="24"/>
        <v>41397.300000000003</v>
      </c>
      <c r="T58" s="281">
        <f t="shared" si="25"/>
        <v>43467.165000000008</v>
      </c>
      <c r="U58" s="282">
        <f t="shared" si="26"/>
        <v>45640.523250000013</v>
      </c>
      <c r="V58" s="283">
        <f t="shared" si="27"/>
        <v>47922.549412500019</v>
      </c>
      <c r="W58" s="447"/>
      <c r="X58" s="448">
        <v>9323</v>
      </c>
      <c r="Y58" s="439"/>
      <c r="Z58" s="743"/>
      <c r="AA58" s="731">
        <v>39426</v>
      </c>
      <c r="AB58" s="731"/>
      <c r="AC58" s="732"/>
      <c r="AD58" s="731">
        <f>AA58*1.05</f>
        <v>41397.300000000003</v>
      </c>
      <c r="AE58" s="733"/>
      <c r="AF58" s="732"/>
      <c r="AG58" s="731">
        <f>AD58*1.05</f>
        <v>43467.165000000008</v>
      </c>
      <c r="AH58" s="733"/>
      <c r="AI58" s="732"/>
      <c r="AJ58" s="731">
        <f>AG58*1.05</f>
        <v>45640.523250000013</v>
      </c>
      <c r="AK58" s="731"/>
      <c r="AL58" s="739"/>
      <c r="AM58" s="731">
        <f>AJ58*1.05</f>
        <v>47922.549412500019</v>
      </c>
      <c r="AN58" s="748"/>
      <c r="AO58" s="379" t="s">
        <v>125</v>
      </c>
      <c r="AP58" s="258" t="s">
        <v>126</v>
      </c>
      <c r="AQ58" s="263" t="s">
        <v>127</v>
      </c>
      <c r="AR58" s="262"/>
      <c r="AS58" s="380"/>
    </row>
    <row r="59" spans="1:45" ht="73" customHeight="1" x14ac:dyDescent="0.35">
      <c r="A59" s="461" t="s">
        <v>197</v>
      </c>
      <c r="B59" s="368" t="s">
        <v>128</v>
      </c>
      <c r="C59" s="368"/>
      <c r="D59" s="369" t="s">
        <v>129</v>
      </c>
      <c r="E59" s="369" t="s">
        <v>97</v>
      </c>
      <c r="F59" s="370" t="s">
        <v>120</v>
      </c>
      <c r="G59" s="463" t="s">
        <v>121</v>
      </c>
      <c r="H59" s="370"/>
      <c r="I59" s="462" t="s">
        <v>130</v>
      </c>
      <c r="J59" s="462" t="s">
        <v>212</v>
      </c>
      <c r="K59" s="462" t="s">
        <v>132</v>
      </c>
      <c r="L59" s="370"/>
      <c r="M59" s="370"/>
      <c r="N59" s="370"/>
      <c r="O59" s="369" t="s">
        <v>104</v>
      </c>
      <c r="P59" s="269">
        <f t="shared" si="1"/>
        <v>290000</v>
      </c>
      <c r="Q59" s="270">
        <f t="shared" si="22"/>
        <v>0</v>
      </c>
      <c r="R59" s="281">
        <f t="shared" si="23"/>
        <v>90000</v>
      </c>
      <c r="S59" s="281">
        <f t="shared" si="24"/>
        <v>50000</v>
      </c>
      <c r="T59" s="281">
        <f t="shared" si="25"/>
        <v>50000</v>
      </c>
      <c r="U59" s="282">
        <f t="shared" si="26"/>
        <v>50000</v>
      </c>
      <c r="V59" s="283">
        <f t="shared" si="27"/>
        <v>50000</v>
      </c>
      <c r="W59" s="447"/>
      <c r="X59" s="448"/>
      <c r="Y59" s="439"/>
      <c r="Z59" s="743"/>
      <c r="AA59" s="744"/>
      <c r="AB59" s="744">
        <v>90000</v>
      </c>
      <c r="AC59" s="746"/>
      <c r="AD59" s="747"/>
      <c r="AE59" s="748">
        <v>50000</v>
      </c>
      <c r="AF59" s="746"/>
      <c r="AG59" s="747"/>
      <c r="AH59" s="748">
        <v>50000</v>
      </c>
      <c r="AI59" s="746"/>
      <c r="AJ59" s="747"/>
      <c r="AK59" s="749">
        <v>50000</v>
      </c>
      <c r="AL59" s="746"/>
      <c r="AM59" s="747"/>
      <c r="AN59" s="748">
        <v>50000</v>
      </c>
      <c r="AO59" s="383"/>
      <c r="AP59" s="258" t="s">
        <v>106</v>
      </c>
      <c r="AQ59" s="263"/>
      <c r="AR59" s="262"/>
      <c r="AS59" s="380"/>
    </row>
    <row r="60" spans="1:45" ht="73" customHeight="1" x14ac:dyDescent="0.35">
      <c r="A60" s="461" t="s">
        <v>208</v>
      </c>
      <c r="B60" s="368" t="s">
        <v>2</v>
      </c>
      <c r="C60" s="368"/>
      <c r="D60" s="369" t="s">
        <v>213</v>
      </c>
      <c r="E60" s="369" t="s">
        <v>97</v>
      </c>
      <c r="F60" s="370" t="s">
        <v>120</v>
      </c>
      <c r="G60" s="463" t="s">
        <v>133</v>
      </c>
      <c r="H60" s="370"/>
      <c r="I60" s="462" t="s">
        <v>214</v>
      </c>
      <c r="J60" s="462" t="s">
        <v>215</v>
      </c>
      <c r="K60" s="462" t="s">
        <v>216</v>
      </c>
      <c r="L60" s="370"/>
      <c r="M60" s="370"/>
      <c r="N60" s="370"/>
      <c r="O60" s="369" t="s">
        <v>104</v>
      </c>
      <c r="P60" s="269">
        <f t="shared" si="1"/>
        <v>60000</v>
      </c>
      <c r="Q60" s="270">
        <f t="shared" si="22"/>
        <v>0</v>
      </c>
      <c r="R60" s="281">
        <f t="shared" si="23"/>
        <v>60000</v>
      </c>
      <c r="S60" s="281">
        <f t="shared" si="24"/>
        <v>0</v>
      </c>
      <c r="T60" s="281">
        <f t="shared" si="25"/>
        <v>0</v>
      </c>
      <c r="U60" s="282">
        <f t="shared" si="26"/>
        <v>0</v>
      </c>
      <c r="V60" s="283">
        <f t="shared" si="27"/>
        <v>0</v>
      </c>
      <c r="W60" s="447"/>
      <c r="X60" s="448"/>
      <c r="Y60" s="439"/>
      <c r="Z60" s="743"/>
      <c r="AA60" s="744"/>
      <c r="AB60" s="744">
        <v>60000</v>
      </c>
      <c r="AC60" s="746"/>
      <c r="AD60" s="747"/>
      <c r="AE60" s="748"/>
      <c r="AF60" s="746"/>
      <c r="AG60" s="747"/>
      <c r="AH60" s="748"/>
      <c r="AI60" s="746"/>
      <c r="AJ60" s="747"/>
      <c r="AK60" s="749"/>
      <c r="AL60" s="746"/>
      <c r="AM60" s="747"/>
      <c r="AN60" s="748"/>
      <c r="AO60" s="383"/>
      <c r="AP60" s="258" t="s">
        <v>106</v>
      </c>
      <c r="AQ60" s="263"/>
      <c r="AR60" s="262"/>
      <c r="AS60" s="380"/>
    </row>
    <row r="61" spans="1:45" ht="73" customHeight="1" x14ac:dyDescent="0.35">
      <c r="A61" s="313" t="s">
        <v>141</v>
      </c>
      <c r="B61" s="251" t="s">
        <v>142</v>
      </c>
      <c r="C61" s="251"/>
      <c r="D61" s="252" t="s">
        <v>217</v>
      </c>
      <c r="E61" s="252" t="s">
        <v>97</v>
      </c>
      <c r="F61" s="253" t="s">
        <v>144</v>
      </c>
      <c r="G61" s="261" t="s">
        <v>99</v>
      </c>
      <c r="H61" s="253" t="s">
        <v>218</v>
      </c>
      <c r="I61" s="254" t="s">
        <v>219</v>
      </c>
      <c r="J61" s="253" t="s">
        <v>220</v>
      </c>
      <c r="K61" s="254" t="s">
        <v>221</v>
      </c>
      <c r="L61" s="253">
        <v>3</v>
      </c>
      <c r="M61" s="253" t="s">
        <v>222</v>
      </c>
      <c r="N61" s="253" t="s">
        <v>155</v>
      </c>
      <c r="O61" s="252" t="s">
        <v>104</v>
      </c>
      <c r="P61" s="269">
        <f>SUM(Q61:V61)</f>
        <v>380713</v>
      </c>
      <c r="Q61" s="270">
        <f>SUM(W61:Y61)</f>
        <v>0</v>
      </c>
      <c r="R61" s="281">
        <f>SUM(Z61:AB61)</f>
        <v>142004</v>
      </c>
      <c r="S61" s="281">
        <f>SUM(AC61:AE61)</f>
        <v>238709</v>
      </c>
      <c r="T61" s="281"/>
      <c r="U61" s="282"/>
      <c r="V61" s="283"/>
      <c r="W61" s="447"/>
      <c r="X61" s="448"/>
      <c r="Y61" s="439"/>
      <c r="Z61" s="743">
        <v>95700</v>
      </c>
      <c r="AA61" s="744">
        <v>46304</v>
      </c>
      <c r="AB61" s="744"/>
      <c r="AC61" s="746">
        <v>185175</v>
      </c>
      <c r="AD61" s="747">
        <v>53534</v>
      </c>
      <c r="AE61" s="748"/>
      <c r="AF61" s="746"/>
      <c r="AG61" s="747"/>
      <c r="AH61" s="748"/>
      <c r="AI61" s="746"/>
      <c r="AJ61" s="747"/>
      <c r="AK61" s="749"/>
      <c r="AL61" s="746"/>
      <c r="AM61" s="747"/>
      <c r="AN61" s="748"/>
      <c r="AO61" s="383" t="s">
        <v>223</v>
      </c>
      <c r="AP61" s="258" t="s">
        <v>136</v>
      </c>
      <c r="AQ61" s="263" t="s">
        <v>224</v>
      </c>
      <c r="AR61" s="262"/>
      <c r="AS61" s="380"/>
    </row>
    <row r="62" spans="1:45" ht="73" customHeight="1" x14ac:dyDescent="0.35">
      <c r="A62" s="313" t="s">
        <v>141</v>
      </c>
      <c r="B62" s="251" t="s">
        <v>142</v>
      </c>
      <c r="C62" s="251"/>
      <c r="D62" s="252" t="s">
        <v>217</v>
      </c>
      <c r="E62" s="252" t="s">
        <v>97</v>
      </c>
      <c r="F62" s="253" t="s">
        <v>144</v>
      </c>
      <c r="G62" s="261" t="s">
        <v>99</v>
      </c>
      <c r="H62" s="253" t="s">
        <v>225</v>
      </c>
      <c r="I62" s="254" t="s">
        <v>226</v>
      </c>
      <c r="J62" s="254" t="s">
        <v>225</v>
      </c>
      <c r="K62" s="254" t="s">
        <v>227</v>
      </c>
      <c r="L62" s="253">
        <v>2</v>
      </c>
      <c r="M62" s="253" t="s">
        <v>228</v>
      </c>
      <c r="N62" s="253" t="s">
        <v>206</v>
      </c>
      <c r="O62" s="252" t="s">
        <v>104</v>
      </c>
      <c r="P62" s="269">
        <f>SUM(Q62:V62)</f>
        <v>240567</v>
      </c>
      <c r="Q62" s="270">
        <f>SUM(W62:Y62)</f>
        <v>0</v>
      </c>
      <c r="R62" s="281">
        <f>SUM(Z62:AB62)</f>
        <v>86249</v>
      </c>
      <c r="S62" s="281">
        <f>SUM(AC62:AE62)</f>
        <v>154318</v>
      </c>
      <c r="T62" s="281"/>
      <c r="U62" s="282"/>
      <c r="V62" s="283"/>
      <c r="W62" s="447"/>
      <c r="X62" s="448"/>
      <c r="Y62" s="439"/>
      <c r="Z62" s="743">
        <v>49800</v>
      </c>
      <c r="AA62" s="744">
        <v>36449</v>
      </c>
      <c r="AB62" s="744"/>
      <c r="AC62" s="746">
        <v>115350</v>
      </c>
      <c r="AD62" s="747">
        <v>38968</v>
      </c>
      <c r="AE62" s="748"/>
      <c r="AF62" s="746"/>
      <c r="AG62" s="747"/>
      <c r="AH62" s="748"/>
      <c r="AI62" s="746"/>
      <c r="AJ62" s="747"/>
      <c r="AK62" s="749"/>
      <c r="AL62" s="746"/>
      <c r="AM62" s="747"/>
      <c r="AN62" s="748"/>
      <c r="AO62" s="383" t="s">
        <v>229</v>
      </c>
      <c r="AP62" s="258" t="s">
        <v>106</v>
      </c>
      <c r="AQ62" s="263" t="s">
        <v>230</v>
      </c>
      <c r="AR62" s="262"/>
      <c r="AS62" s="380"/>
    </row>
    <row r="63" spans="1:45" ht="73" customHeight="1" x14ac:dyDescent="0.35">
      <c r="A63" s="313" t="s">
        <v>197</v>
      </c>
      <c r="B63" s="251" t="s">
        <v>118</v>
      </c>
      <c r="C63" s="251"/>
      <c r="D63" s="252" t="s">
        <v>231</v>
      </c>
      <c r="E63" s="252" t="s">
        <v>97</v>
      </c>
      <c r="F63" s="253" t="s">
        <v>144</v>
      </c>
      <c r="G63" s="261" t="s">
        <v>99</v>
      </c>
      <c r="H63" s="253" t="s">
        <v>232</v>
      </c>
      <c r="I63" s="254" t="s">
        <v>233</v>
      </c>
      <c r="J63" s="254" t="s">
        <v>234</v>
      </c>
      <c r="K63" s="254" t="s">
        <v>235</v>
      </c>
      <c r="L63" s="253">
        <v>1</v>
      </c>
      <c r="M63" s="253" t="s">
        <v>236</v>
      </c>
      <c r="N63" s="253" t="s">
        <v>206</v>
      </c>
      <c r="O63" s="252" t="s">
        <v>104</v>
      </c>
      <c r="P63" s="269">
        <f>SUM(Q63:V63)</f>
        <v>721789</v>
      </c>
      <c r="Q63" s="270">
        <f>SUM(W63:Y63)</f>
        <v>0</v>
      </c>
      <c r="R63" s="281">
        <f>SUM(Z63:AB63)</f>
        <v>174918</v>
      </c>
      <c r="S63" s="281">
        <f>SUM(AC63:AE63)</f>
        <v>546871</v>
      </c>
      <c r="T63" s="281"/>
      <c r="U63" s="282"/>
      <c r="V63" s="283"/>
      <c r="W63" s="447"/>
      <c r="X63" s="448"/>
      <c r="Y63" s="439"/>
      <c r="Z63" s="743">
        <v>70000</v>
      </c>
      <c r="AA63" s="744">
        <v>104918</v>
      </c>
      <c r="AB63" s="744"/>
      <c r="AC63" s="746">
        <v>186750</v>
      </c>
      <c r="AD63" s="747">
        <v>360121</v>
      </c>
      <c r="AE63" s="748"/>
      <c r="AF63" s="746"/>
      <c r="AG63" s="747"/>
      <c r="AH63" s="748"/>
      <c r="AI63" s="746"/>
      <c r="AJ63" s="747"/>
      <c r="AK63" s="749"/>
      <c r="AL63" s="746"/>
      <c r="AM63" s="747"/>
      <c r="AN63" s="748"/>
      <c r="AO63" s="383" t="s">
        <v>237</v>
      </c>
      <c r="AP63" s="258" t="s">
        <v>136</v>
      </c>
      <c r="AQ63" s="263" t="s">
        <v>238</v>
      </c>
      <c r="AR63" s="262"/>
      <c r="AS63" s="380"/>
    </row>
    <row r="64" spans="1:45" s="188" customFormat="1" ht="58" hidden="1" x14ac:dyDescent="0.35">
      <c r="A64" s="313" t="s">
        <v>197</v>
      </c>
      <c r="B64" s="251" t="s">
        <v>118</v>
      </c>
      <c r="C64" s="251"/>
      <c r="D64" s="252" t="s">
        <v>239</v>
      </c>
      <c r="E64" s="252" t="s">
        <v>97</v>
      </c>
      <c r="F64" s="253" t="s">
        <v>112</v>
      </c>
      <c r="G64" s="261" t="s">
        <v>133</v>
      </c>
      <c r="H64" s="253"/>
      <c r="I64" s="254"/>
      <c r="J64" s="254" t="s">
        <v>240</v>
      </c>
      <c r="K64" s="254"/>
      <c r="L64" s="253"/>
      <c r="M64" s="253"/>
      <c r="N64" s="253"/>
      <c r="O64" s="252" t="s">
        <v>135</v>
      </c>
      <c r="P64" s="269">
        <f>SUM(Q64:V64)</f>
        <v>1488040</v>
      </c>
      <c r="Q64" s="270">
        <v>69600</v>
      </c>
      <c r="R64" s="281">
        <v>780917</v>
      </c>
      <c r="S64" s="281">
        <v>569557</v>
      </c>
      <c r="T64" s="281">
        <v>33983</v>
      </c>
      <c r="U64" s="281">
        <v>33983</v>
      </c>
      <c r="V64" s="283"/>
      <c r="W64" s="447">
        <v>69600</v>
      </c>
      <c r="X64" s="448">
        <v>0</v>
      </c>
      <c r="Y64" s="439">
        <v>0</v>
      </c>
      <c r="Z64" s="449">
        <v>610361</v>
      </c>
      <c r="AA64" s="448">
        <v>148310</v>
      </c>
      <c r="AB64" s="448">
        <v>22247</v>
      </c>
      <c r="AC64" s="454">
        <v>450820</v>
      </c>
      <c r="AD64" s="455">
        <v>103250</v>
      </c>
      <c r="AE64" s="456">
        <v>15488</v>
      </c>
      <c r="AF64" s="454">
        <v>0</v>
      </c>
      <c r="AG64" s="455">
        <v>29550</v>
      </c>
      <c r="AH64" s="456">
        <v>4432</v>
      </c>
      <c r="AI64" s="454">
        <v>0</v>
      </c>
      <c r="AJ64" s="455">
        <v>29550</v>
      </c>
      <c r="AK64" s="456">
        <v>4432</v>
      </c>
      <c r="AL64" s="454"/>
      <c r="AM64" s="455"/>
      <c r="AN64" s="456"/>
      <c r="AO64" s="383"/>
      <c r="AP64" s="258"/>
      <c r="AQ64" s="263"/>
      <c r="AR64" s="260"/>
      <c r="AS64" s="336"/>
    </row>
    <row r="65" spans="1:45" s="188" customFormat="1" ht="58" hidden="1" x14ac:dyDescent="0.35">
      <c r="A65" s="313" t="s">
        <v>197</v>
      </c>
      <c r="B65" s="251" t="s">
        <v>118</v>
      </c>
      <c r="C65" s="251"/>
      <c r="D65" s="252" t="s">
        <v>241</v>
      </c>
      <c r="E65" s="252" t="s">
        <v>97</v>
      </c>
      <c r="F65" s="253" t="s">
        <v>144</v>
      </c>
      <c r="G65" s="261" t="s">
        <v>133</v>
      </c>
      <c r="H65" s="253"/>
      <c r="I65" s="254"/>
      <c r="J65" s="254" t="s">
        <v>242</v>
      </c>
      <c r="K65" s="254"/>
      <c r="L65" s="253"/>
      <c r="M65" s="253"/>
      <c r="N65" s="253"/>
      <c r="O65" s="252" t="s">
        <v>135</v>
      </c>
      <c r="P65" s="569">
        <v>1362106.23</v>
      </c>
      <c r="Q65" s="570"/>
      <c r="R65" s="282">
        <v>432000</v>
      </c>
      <c r="S65" s="571">
        <v>683147.54</v>
      </c>
      <c r="T65" s="281">
        <v>246958.69</v>
      </c>
      <c r="U65" s="282"/>
      <c r="V65" s="283"/>
      <c r="W65" s="447">
        <v>240000</v>
      </c>
      <c r="X65" s="448">
        <v>192000</v>
      </c>
      <c r="Y65" s="439"/>
      <c r="Z65" s="448">
        <v>491147.54</v>
      </c>
      <c r="AA65" s="448">
        <v>192000</v>
      </c>
      <c r="AB65" s="448"/>
      <c r="AC65" s="454"/>
      <c r="AD65" s="455">
        <v>144000</v>
      </c>
      <c r="AE65" s="456">
        <v>102958.69</v>
      </c>
      <c r="AF65" s="454"/>
      <c r="AG65" s="455"/>
      <c r="AH65" s="456"/>
      <c r="AI65" s="454"/>
      <c r="AJ65" s="455"/>
      <c r="AK65" s="457"/>
      <c r="AL65" s="454"/>
      <c r="AM65" s="455"/>
      <c r="AN65" s="456"/>
      <c r="AO65" s="383"/>
      <c r="AP65" s="258"/>
      <c r="AQ65" s="263"/>
      <c r="AR65" s="260"/>
      <c r="AS65" s="336"/>
    </row>
    <row r="66" spans="1:45" s="188" customFormat="1" ht="58" hidden="1" x14ac:dyDescent="0.35">
      <c r="A66" s="313" t="s">
        <v>197</v>
      </c>
      <c r="B66" s="251" t="s">
        <v>118</v>
      </c>
      <c r="C66" s="251"/>
      <c r="D66" s="252" t="s">
        <v>243</v>
      </c>
      <c r="E66" s="252" t="s">
        <v>97</v>
      </c>
      <c r="F66" s="253" t="s">
        <v>144</v>
      </c>
      <c r="G66" s="261" t="s">
        <v>133</v>
      </c>
      <c r="H66" s="253"/>
      <c r="I66" s="254"/>
      <c r="J66" s="254" t="s">
        <v>244</v>
      </c>
      <c r="K66" s="254"/>
      <c r="L66" s="253"/>
      <c r="M66" s="253"/>
      <c r="N66" s="253"/>
      <c r="O66" s="252" t="s">
        <v>135</v>
      </c>
      <c r="P66" s="569">
        <v>983278</v>
      </c>
      <c r="Q66" s="270"/>
      <c r="R66" s="281">
        <v>454233.5</v>
      </c>
      <c r="S66" s="281">
        <v>284110.21999999997</v>
      </c>
      <c r="T66" s="281">
        <v>244934.28</v>
      </c>
      <c r="U66" s="282"/>
      <c r="V66" s="283"/>
      <c r="W66" s="447"/>
      <c r="X66" s="448"/>
      <c r="Y66" s="439"/>
      <c r="Z66" s="448">
        <v>367923.5</v>
      </c>
      <c r="AA66" s="448">
        <v>86310</v>
      </c>
      <c r="AB66" s="448"/>
      <c r="AC66" s="454">
        <v>197800.22</v>
      </c>
      <c r="AD66" s="455">
        <v>86310</v>
      </c>
      <c r="AE66" s="456"/>
      <c r="AF66" s="454">
        <v>167252.28000000003</v>
      </c>
      <c r="AG66" s="455">
        <v>17180</v>
      </c>
      <c r="AH66" s="456">
        <v>60502</v>
      </c>
      <c r="AI66" s="454"/>
      <c r="AJ66" s="455"/>
      <c r="AK66" s="457"/>
      <c r="AL66" s="454"/>
      <c r="AM66" s="455"/>
      <c r="AN66" s="456"/>
      <c r="AO66" s="383"/>
      <c r="AP66" s="258"/>
      <c r="AQ66" s="263"/>
      <c r="AR66" s="260"/>
      <c r="AS66" s="336"/>
    </row>
    <row r="67" spans="1:45" s="188" customFormat="1" ht="58" hidden="1" x14ac:dyDescent="0.35">
      <c r="A67" s="313" t="s">
        <v>197</v>
      </c>
      <c r="B67" s="251" t="s">
        <v>118</v>
      </c>
      <c r="C67" s="251"/>
      <c r="D67" s="252" t="s">
        <v>245</v>
      </c>
      <c r="E67" s="252" t="s">
        <v>97</v>
      </c>
      <c r="F67" s="253" t="s">
        <v>144</v>
      </c>
      <c r="G67" s="261" t="s">
        <v>133</v>
      </c>
      <c r="H67" s="253"/>
      <c r="I67" s="254"/>
      <c r="J67" s="254" t="s">
        <v>246</v>
      </c>
      <c r="K67" s="254"/>
      <c r="L67" s="253"/>
      <c r="M67" s="253"/>
      <c r="N67" s="253"/>
      <c r="O67" s="252" t="s">
        <v>135</v>
      </c>
      <c r="P67" s="269">
        <v>73055.63</v>
      </c>
      <c r="Q67" s="270"/>
      <c r="R67" s="281">
        <v>28646</v>
      </c>
      <c r="S67" s="281">
        <v>29268</v>
      </c>
      <c r="T67" s="281">
        <v>15142</v>
      </c>
      <c r="U67" s="282"/>
      <c r="V67" s="283"/>
      <c r="W67" s="447"/>
      <c r="X67" s="448"/>
      <c r="Y67" s="439"/>
      <c r="Z67" s="449"/>
      <c r="AA67" s="448">
        <v>28646</v>
      </c>
      <c r="AB67" s="448"/>
      <c r="AC67" s="454"/>
      <c r="AD67" s="455">
        <v>28646</v>
      </c>
      <c r="AE67" s="456">
        <v>622</v>
      </c>
      <c r="AF67" s="454"/>
      <c r="AG67" s="455">
        <v>9548</v>
      </c>
      <c r="AH67" s="456">
        <v>5594</v>
      </c>
      <c r="AI67" s="454"/>
      <c r="AJ67" s="455"/>
      <c r="AK67" s="457"/>
      <c r="AL67" s="454"/>
      <c r="AM67" s="455"/>
      <c r="AN67" s="456"/>
      <c r="AO67" s="383"/>
      <c r="AP67" s="258"/>
      <c r="AQ67" s="263"/>
      <c r="AR67" s="260"/>
      <c r="AS67" s="336"/>
    </row>
    <row r="68" spans="1:45" s="188" customFormat="1" ht="304.5" hidden="1" x14ac:dyDescent="0.35">
      <c r="A68" s="313" t="s">
        <v>197</v>
      </c>
      <c r="B68" s="251" t="s">
        <v>118</v>
      </c>
      <c r="C68" s="255"/>
      <c r="D68" s="256"/>
      <c r="E68" s="256" t="s">
        <v>247</v>
      </c>
      <c r="F68" s="253" t="s">
        <v>248</v>
      </c>
      <c r="G68" s="261" t="s">
        <v>249</v>
      </c>
      <c r="H68" s="364"/>
      <c r="I68" s="257" t="s">
        <v>250</v>
      </c>
      <c r="J68" s="257" t="s">
        <v>251</v>
      </c>
      <c r="K68" s="257" t="s">
        <v>252</v>
      </c>
      <c r="L68" s="364"/>
      <c r="M68" s="364" t="s">
        <v>253</v>
      </c>
      <c r="N68" s="364"/>
      <c r="O68" s="256" t="s">
        <v>254</v>
      </c>
      <c r="P68" s="269">
        <f t="shared" ref="P68:P70" si="35">SUM(Q68:V68)</f>
        <v>855700</v>
      </c>
      <c r="Q68" s="270">
        <f t="shared" ref="Q68:Q70" si="36">SUM(W68:Y68)</f>
        <v>0</v>
      </c>
      <c r="R68" s="281">
        <f t="shared" ref="R68:R70" si="37">SUM(Z68:AB68)</f>
        <v>0</v>
      </c>
      <c r="S68" s="281">
        <f t="shared" ref="S68:S70" si="38">SUM(AC68:AE68)</f>
        <v>165700</v>
      </c>
      <c r="T68" s="281">
        <f t="shared" ref="T68:T70" si="39">SUM(AF68:AH68)</f>
        <v>237300</v>
      </c>
      <c r="U68" s="282">
        <f t="shared" ref="U68:U70" si="40">SUM(AI68:AK68)</f>
        <v>189700</v>
      </c>
      <c r="V68" s="283">
        <f t="shared" ref="V68:V70" si="41">SUM(AL68:AN68)</f>
        <v>263000</v>
      </c>
      <c r="W68" s="450"/>
      <c r="X68" s="451"/>
      <c r="Y68" s="452"/>
      <c r="Z68" s="453"/>
      <c r="AA68" s="451"/>
      <c r="AB68" s="451"/>
      <c r="AC68" s="458"/>
      <c r="AD68" s="459">
        <v>161800</v>
      </c>
      <c r="AE68" s="460">
        <v>3900</v>
      </c>
      <c r="AF68" s="458"/>
      <c r="AG68" s="459">
        <v>173100</v>
      </c>
      <c r="AH68" s="460">
        <v>64200</v>
      </c>
      <c r="AI68" s="458"/>
      <c r="AJ68" s="459">
        <v>185200</v>
      </c>
      <c r="AK68" s="459">
        <v>4500</v>
      </c>
      <c r="AL68" s="454"/>
      <c r="AM68" s="455">
        <v>198200</v>
      </c>
      <c r="AN68" s="456">
        <v>64800</v>
      </c>
      <c r="AO68" s="384" t="s">
        <v>255</v>
      </c>
      <c r="AP68" s="264"/>
      <c r="AQ68" s="265"/>
      <c r="AR68" s="260"/>
      <c r="AS68" s="336"/>
    </row>
    <row r="69" spans="1:45" s="188" customFormat="1" ht="261" hidden="1" x14ac:dyDescent="0.35">
      <c r="A69" s="313" t="s">
        <v>197</v>
      </c>
      <c r="B69" s="251" t="s">
        <v>118</v>
      </c>
      <c r="C69" s="255"/>
      <c r="D69" s="256"/>
      <c r="E69" s="256" t="s">
        <v>97</v>
      </c>
      <c r="F69" s="253" t="s">
        <v>144</v>
      </c>
      <c r="G69" s="261"/>
      <c r="H69" s="364"/>
      <c r="I69" s="257" t="s">
        <v>256</v>
      </c>
      <c r="J69" s="257" t="s">
        <v>257</v>
      </c>
      <c r="K69" s="257" t="s">
        <v>258</v>
      </c>
      <c r="L69" s="364"/>
      <c r="M69" s="364" t="s">
        <v>259</v>
      </c>
      <c r="N69" s="364"/>
      <c r="O69" s="256" t="s">
        <v>254</v>
      </c>
      <c r="P69" s="269">
        <f t="shared" si="35"/>
        <v>10221615</v>
      </c>
      <c r="Q69" s="270">
        <f t="shared" si="36"/>
        <v>0</v>
      </c>
      <c r="R69" s="281">
        <f t="shared" si="37"/>
        <v>0</v>
      </c>
      <c r="S69" s="281">
        <f t="shared" si="38"/>
        <v>2302125</v>
      </c>
      <c r="T69" s="281">
        <f t="shared" si="39"/>
        <v>2463370</v>
      </c>
      <c r="U69" s="282">
        <f t="shared" si="40"/>
        <v>2635790</v>
      </c>
      <c r="V69" s="283">
        <f t="shared" si="41"/>
        <v>2820330</v>
      </c>
      <c r="W69" s="450"/>
      <c r="X69" s="451"/>
      <c r="Y69" s="452"/>
      <c r="Z69" s="453"/>
      <c r="AA69" s="451"/>
      <c r="AB69" s="451"/>
      <c r="AC69" s="458">
        <v>90000</v>
      </c>
      <c r="AD69" s="459">
        <v>1704600</v>
      </c>
      <c r="AE69" s="460">
        <v>507525</v>
      </c>
      <c r="AF69" s="458">
        <v>96300</v>
      </c>
      <c r="AG69" s="459">
        <v>1824000</v>
      </c>
      <c r="AH69" s="460">
        <v>543070</v>
      </c>
      <c r="AI69" s="458">
        <v>103000</v>
      </c>
      <c r="AJ69" s="459">
        <v>1951700</v>
      </c>
      <c r="AK69" s="459">
        <v>581090</v>
      </c>
      <c r="AL69" s="454">
        <v>110200</v>
      </c>
      <c r="AM69" s="455">
        <v>2088300</v>
      </c>
      <c r="AN69" s="456">
        <v>621830</v>
      </c>
      <c r="AO69" s="384" t="s">
        <v>260</v>
      </c>
      <c r="AP69" s="264"/>
      <c r="AQ69" s="265"/>
      <c r="AR69" s="260"/>
      <c r="AS69" s="336"/>
    </row>
    <row r="70" spans="1:45" s="188" customFormat="1" ht="409.5" hidden="1" x14ac:dyDescent="0.35">
      <c r="A70" s="313" t="s">
        <v>197</v>
      </c>
      <c r="B70" s="251" t="s">
        <v>118</v>
      </c>
      <c r="C70" s="255"/>
      <c r="D70" s="256"/>
      <c r="E70" s="256" t="s">
        <v>97</v>
      </c>
      <c r="F70" s="253" t="s">
        <v>112</v>
      </c>
      <c r="G70" s="261"/>
      <c r="H70" s="364"/>
      <c r="I70" s="257" t="s">
        <v>261</v>
      </c>
      <c r="J70" s="257" t="s">
        <v>262</v>
      </c>
      <c r="K70" s="257" t="s">
        <v>263</v>
      </c>
      <c r="L70" s="364"/>
      <c r="M70" s="364" t="s">
        <v>264</v>
      </c>
      <c r="N70" s="364"/>
      <c r="O70" s="256" t="s">
        <v>254</v>
      </c>
      <c r="P70" s="269">
        <f t="shared" si="35"/>
        <v>9991998</v>
      </c>
      <c r="Q70" s="270">
        <f t="shared" si="36"/>
        <v>0</v>
      </c>
      <c r="R70" s="281">
        <f t="shared" si="37"/>
        <v>0</v>
      </c>
      <c r="S70" s="281">
        <f t="shared" si="38"/>
        <v>2250398</v>
      </c>
      <c r="T70" s="281">
        <f t="shared" si="39"/>
        <v>2408400</v>
      </c>
      <c r="U70" s="282">
        <f t="shared" si="40"/>
        <v>2576500</v>
      </c>
      <c r="V70" s="283">
        <f t="shared" si="41"/>
        <v>2756700</v>
      </c>
      <c r="W70" s="450"/>
      <c r="X70" s="451"/>
      <c r="Y70" s="452"/>
      <c r="Z70" s="453"/>
      <c r="AA70" s="451"/>
      <c r="AB70" s="451"/>
      <c r="AC70" s="453"/>
      <c r="AD70" s="451">
        <v>1126020</v>
      </c>
      <c r="AE70" s="451">
        <v>1124378</v>
      </c>
      <c r="AF70" s="458"/>
      <c r="AG70" s="459">
        <v>1204700</v>
      </c>
      <c r="AH70" s="460">
        <v>1203700</v>
      </c>
      <c r="AI70" s="458"/>
      <c r="AJ70" s="459">
        <v>1289100</v>
      </c>
      <c r="AK70" s="460">
        <v>1287400</v>
      </c>
      <c r="AL70" s="458"/>
      <c r="AM70" s="459">
        <v>1379200</v>
      </c>
      <c r="AN70" s="459">
        <v>1377500</v>
      </c>
      <c r="AO70" s="384" t="s">
        <v>265</v>
      </c>
      <c r="AP70" s="264"/>
      <c r="AQ70" s="265"/>
      <c r="AR70" s="260"/>
      <c r="AS70" s="336"/>
    </row>
    <row r="71" spans="1:45" s="188" customFormat="1" ht="101.5" hidden="1" x14ac:dyDescent="0.35">
      <c r="A71" s="313" t="s">
        <v>197</v>
      </c>
      <c r="B71" s="251" t="s">
        <v>118</v>
      </c>
      <c r="C71" s="255"/>
      <c r="D71" s="256"/>
      <c r="E71" s="256" t="s">
        <v>247</v>
      </c>
      <c r="F71" s="253" t="s">
        <v>248</v>
      </c>
      <c r="G71" s="261" t="s">
        <v>249</v>
      </c>
      <c r="H71" s="364"/>
      <c r="I71" s="257" t="s">
        <v>266</v>
      </c>
      <c r="J71" s="257" t="s">
        <v>251</v>
      </c>
      <c r="K71" s="257" t="s">
        <v>267</v>
      </c>
      <c r="L71" s="364"/>
      <c r="M71" s="364"/>
      <c r="N71" s="364"/>
      <c r="O71" s="256" t="s">
        <v>254</v>
      </c>
      <c r="P71" s="269">
        <f>SUM(Q71:V71)</f>
        <v>1537000</v>
      </c>
      <c r="Q71" s="270">
        <f>SUM(W71:Y71)</f>
        <v>0</v>
      </c>
      <c r="R71" s="281">
        <f>SUM(Z71:AB71)</f>
        <v>0</v>
      </c>
      <c r="S71" s="281">
        <f>SUM(AC71:AE71)</f>
        <v>757000</v>
      </c>
      <c r="T71" s="281">
        <f>SUM(AF71:AH71)</f>
        <v>260000</v>
      </c>
      <c r="U71" s="282">
        <f>SUM(AI71:AK71)</f>
        <v>260000</v>
      </c>
      <c r="V71" s="283">
        <f>SUM(AL71:AN71)</f>
        <v>260000</v>
      </c>
      <c r="W71" s="450"/>
      <c r="X71" s="451"/>
      <c r="Y71" s="452"/>
      <c r="Z71" s="453"/>
      <c r="AA71" s="451"/>
      <c r="AB71" s="451"/>
      <c r="AC71" s="458">
        <v>497000</v>
      </c>
      <c r="AD71" s="459"/>
      <c r="AE71" s="460">
        <v>260000</v>
      </c>
      <c r="AF71" s="458"/>
      <c r="AG71" s="459"/>
      <c r="AH71" s="460">
        <v>260000</v>
      </c>
      <c r="AI71" s="458"/>
      <c r="AJ71" s="459"/>
      <c r="AK71" s="459">
        <v>260000</v>
      </c>
      <c r="AL71" s="454"/>
      <c r="AM71" s="455"/>
      <c r="AN71" s="456">
        <v>260000</v>
      </c>
      <c r="AO71" s="258" t="s">
        <v>268</v>
      </c>
      <c r="AP71" s="264"/>
      <c r="AQ71" s="265"/>
      <c r="AR71" s="260"/>
      <c r="AS71" s="336"/>
    </row>
    <row r="72" spans="1:45" s="188" customFormat="1" ht="58" hidden="1" x14ac:dyDescent="0.35">
      <c r="A72" s="313" t="s">
        <v>197</v>
      </c>
      <c r="B72" s="251" t="s">
        <v>118</v>
      </c>
      <c r="C72" s="255"/>
      <c r="D72" s="256"/>
      <c r="E72" s="256" t="s">
        <v>97</v>
      </c>
      <c r="F72" s="253" t="s">
        <v>112</v>
      </c>
      <c r="G72" s="261"/>
      <c r="H72" s="364"/>
      <c r="I72" s="257" t="s">
        <v>269</v>
      </c>
      <c r="J72" s="257" t="s">
        <v>270</v>
      </c>
      <c r="K72" s="257" t="s">
        <v>271</v>
      </c>
      <c r="L72" s="364"/>
      <c r="M72" s="364"/>
      <c r="N72" s="364"/>
      <c r="O72" s="256" t="s">
        <v>254</v>
      </c>
      <c r="P72" s="269">
        <f t="shared" ref="P72:P73" si="42">SUM(Q72:V72)</f>
        <v>24800</v>
      </c>
      <c r="Q72" s="270">
        <f t="shared" ref="Q72:Q73" si="43">SUM(W72:Y72)</f>
        <v>0</v>
      </c>
      <c r="R72" s="281">
        <f t="shared" ref="R72:R73" si="44">SUM(Z72:AB72)</f>
        <v>0</v>
      </c>
      <c r="S72" s="281">
        <f t="shared" ref="S72:S73" si="45">SUM(AC72:AE72)</f>
        <v>0</v>
      </c>
      <c r="T72" s="281">
        <f t="shared" ref="T72:T73" si="46">SUM(AF72:AH72)</f>
        <v>0</v>
      </c>
      <c r="U72" s="282">
        <f t="shared" ref="U72:U73" si="47">SUM(AI72:AK72)</f>
        <v>0</v>
      </c>
      <c r="V72" s="283">
        <f t="shared" ref="V72:V73" si="48">SUM(AL72:AN72)</f>
        <v>24800</v>
      </c>
      <c r="W72" s="450"/>
      <c r="X72" s="451"/>
      <c r="Y72" s="452"/>
      <c r="Z72" s="453"/>
      <c r="AA72" s="451"/>
      <c r="AB72" s="451"/>
      <c r="AC72" s="458"/>
      <c r="AD72" s="459"/>
      <c r="AE72" s="460"/>
      <c r="AF72" s="458"/>
      <c r="AG72" s="459"/>
      <c r="AH72" s="460"/>
      <c r="AI72" s="458"/>
      <c r="AJ72" s="459"/>
      <c r="AK72" s="459"/>
      <c r="AL72" s="454"/>
      <c r="AM72" s="455"/>
      <c r="AN72" s="456">
        <v>24800</v>
      </c>
      <c r="AO72" s="595" t="s">
        <v>272</v>
      </c>
      <c r="AP72" s="264"/>
      <c r="AQ72" s="265"/>
      <c r="AR72" s="260"/>
      <c r="AS72" s="336"/>
    </row>
    <row r="73" spans="1:45" s="188" customFormat="1" ht="72.5" hidden="1" x14ac:dyDescent="0.35">
      <c r="A73" s="313" t="s">
        <v>197</v>
      </c>
      <c r="B73" s="251" t="s">
        <v>118</v>
      </c>
      <c r="C73" s="255"/>
      <c r="D73" s="256"/>
      <c r="E73" s="256" t="s">
        <v>97</v>
      </c>
      <c r="F73" s="253" t="s">
        <v>112</v>
      </c>
      <c r="G73" s="261"/>
      <c r="H73" s="364"/>
      <c r="I73" s="257" t="s">
        <v>269</v>
      </c>
      <c r="J73" s="257" t="s">
        <v>273</v>
      </c>
      <c r="K73" s="257" t="s">
        <v>271</v>
      </c>
      <c r="L73" s="364"/>
      <c r="M73" s="364"/>
      <c r="N73" s="364"/>
      <c r="O73" s="256" t="s">
        <v>254</v>
      </c>
      <c r="P73" s="269">
        <f t="shared" si="42"/>
        <v>44640</v>
      </c>
      <c r="Q73" s="270">
        <f t="shared" si="43"/>
        <v>0</v>
      </c>
      <c r="R73" s="281">
        <f t="shared" si="44"/>
        <v>0</v>
      </c>
      <c r="S73" s="281">
        <f t="shared" si="45"/>
        <v>0</v>
      </c>
      <c r="T73" s="281">
        <f t="shared" si="46"/>
        <v>0</v>
      </c>
      <c r="U73" s="282">
        <f t="shared" si="47"/>
        <v>0</v>
      </c>
      <c r="V73" s="283">
        <f t="shared" si="48"/>
        <v>44640</v>
      </c>
      <c r="W73" s="450"/>
      <c r="X73" s="451"/>
      <c r="Y73" s="452"/>
      <c r="Z73" s="453"/>
      <c r="AA73" s="451"/>
      <c r="AB73" s="451"/>
      <c r="AC73" s="458"/>
      <c r="AD73" s="459"/>
      <c r="AE73" s="460"/>
      <c r="AF73" s="458"/>
      <c r="AG73" s="459"/>
      <c r="AH73" s="460"/>
      <c r="AI73" s="458"/>
      <c r="AJ73" s="459"/>
      <c r="AK73" s="459"/>
      <c r="AL73" s="454"/>
      <c r="AM73" s="455"/>
      <c r="AN73" s="456">
        <v>44640</v>
      </c>
      <c r="AO73" s="384" t="s">
        <v>272</v>
      </c>
      <c r="AP73" s="264"/>
      <c r="AQ73" s="265"/>
      <c r="AR73" s="260"/>
      <c r="AS73" s="336"/>
    </row>
    <row r="74" spans="1:45" s="188" customFormat="1" ht="15.65" hidden="1" customHeight="1" thickBot="1" x14ac:dyDescent="0.4">
      <c r="A74" s="37"/>
      <c r="B74" s="29"/>
      <c r="C74" s="38"/>
      <c r="D74" s="38"/>
      <c r="E74" s="38"/>
      <c r="F74" s="38"/>
      <c r="G74" s="38"/>
      <c r="H74" s="38"/>
      <c r="I74" s="38"/>
      <c r="J74" s="29"/>
      <c r="K74" s="38"/>
      <c r="L74" s="38"/>
      <c r="M74" s="38"/>
      <c r="N74" s="38"/>
      <c r="O74" s="38"/>
      <c r="P74" s="248">
        <f t="shared" si="1"/>
        <v>33416811.299999997</v>
      </c>
      <c r="Q74" s="235">
        <f t="shared" si="6"/>
        <v>2536113</v>
      </c>
      <c r="R74" s="236">
        <f t="shared" si="11"/>
        <v>15976410.539999999</v>
      </c>
      <c r="S74" s="236">
        <f t="shared" si="12"/>
        <v>14904287.76</v>
      </c>
      <c r="T74" s="236">
        <f t="shared" si="13"/>
        <v>0</v>
      </c>
      <c r="U74" s="237">
        <f t="shared" si="14"/>
        <v>0</v>
      </c>
      <c r="V74" s="237">
        <f t="shared" si="10"/>
        <v>0</v>
      </c>
      <c r="W74" s="307">
        <f t="shared" ref="W74:AE74" si="49">SUM(W35:W73)</f>
        <v>1849600</v>
      </c>
      <c r="X74" s="308">
        <f t="shared" si="49"/>
        <v>622996</v>
      </c>
      <c r="Y74" s="309">
        <f t="shared" si="49"/>
        <v>63517</v>
      </c>
      <c r="Z74" s="307">
        <f t="shared" si="49"/>
        <v>12698341.039999999</v>
      </c>
      <c r="AA74" s="308">
        <f t="shared" si="49"/>
        <v>2864921.5</v>
      </c>
      <c r="AB74" s="309">
        <f t="shared" si="49"/>
        <v>413148</v>
      </c>
      <c r="AC74" s="307">
        <f t="shared" si="49"/>
        <v>7418889.2199999997</v>
      </c>
      <c r="AD74" s="308">
        <f t="shared" si="49"/>
        <v>5188111.8499999996</v>
      </c>
      <c r="AE74" s="309">
        <f t="shared" si="49"/>
        <v>2297286.69</v>
      </c>
      <c r="AF74" s="238"/>
      <c r="AG74" s="31"/>
      <c r="AH74" s="32"/>
      <c r="AI74" s="33"/>
      <c r="AJ74" s="31"/>
      <c r="AK74" s="31"/>
      <c r="AL74" s="324"/>
      <c r="AM74" s="325"/>
      <c r="AN74" s="32"/>
      <c r="AO74" s="240"/>
      <c r="AP74" s="239"/>
      <c r="AQ74" s="240"/>
      <c r="AR74" s="385"/>
      <c r="AS74" s="386"/>
    </row>
    <row r="75" spans="1:45" s="1" customFormat="1" ht="15" hidden="1" thickBot="1" x14ac:dyDescent="0.4">
      <c r="W75" s="310">
        <f t="shared" ref="W75:AE75" si="50">SUM(W77+W80+W83+W86+W92+W95+W98+W101+W107+W110+W113+W116)</f>
        <v>1849600</v>
      </c>
      <c r="X75" s="311">
        <f t="shared" si="50"/>
        <v>622996</v>
      </c>
      <c r="Y75" s="312">
        <f t="shared" si="50"/>
        <v>63517</v>
      </c>
      <c r="Z75" s="310">
        <f t="shared" si="50"/>
        <v>12698341.039999999</v>
      </c>
      <c r="AA75" s="311">
        <f t="shared" si="50"/>
        <v>2864921.5</v>
      </c>
      <c r="AB75" s="312">
        <f t="shared" si="50"/>
        <v>413148</v>
      </c>
      <c r="AC75" s="310">
        <f t="shared" si="50"/>
        <v>7328889.2200000007</v>
      </c>
      <c r="AD75" s="311">
        <f t="shared" si="50"/>
        <v>2357491.85</v>
      </c>
      <c r="AE75" s="312">
        <f t="shared" si="50"/>
        <v>665383.68999999994</v>
      </c>
    </row>
    <row r="76" spans="1:45" ht="15" thickBot="1" x14ac:dyDescent="0.4">
      <c r="F76" s="750"/>
      <c r="J76" s="234"/>
      <c r="S76" s="34" t="s">
        <v>274</v>
      </c>
      <c r="T76" s="242" t="s">
        <v>104</v>
      </c>
      <c r="AA76" s="712"/>
      <c r="AE76" s="712"/>
    </row>
    <row r="77" spans="1:45" x14ac:dyDescent="0.35">
      <c r="E77" s="234" t="s">
        <v>97</v>
      </c>
      <c r="F77" s="751" t="s">
        <v>98</v>
      </c>
      <c r="G77" s="234" t="s">
        <v>99</v>
      </c>
      <c r="J77" s="234"/>
      <c r="O77" s="751" t="s">
        <v>139</v>
      </c>
      <c r="P77" s="233"/>
      <c r="T77" s="1" t="s">
        <v>7</v>
      </c>
      <c r="W77" s="243">
        <f>SUMIFS($W$35:$W$73,$G$35:$G$73,$G$77,$O$35:$O$73,"SF 21-27 (taotletav raha)")</f>
        <v>0</v>
      </c>
      <c r="X77" s="244">
        <f>SUMIFS($X$35:$X$73,$G$35:$G$73,$G$77,$O$35:$O$73,"SF 21-27 (taotletav raha)")</f>
        <v>0</v>
      </c>
      <c r="Y77" s="245">
        <f>SUMIFS($Y$35:$Y$73,$G$35:$G$73,$G$77,$O$35:$O$73,"SF 21-27 (taotletav raha)")</f>
        <v>0</v>
      </c>
      <c r="Z77" s="753">
        <f>SUMIFS($Z$35:$Z$73,$G$35:$G$73,$G$77,$O$35:$O$73,"SF 21-27 (taotletav raha)")</f>
        <v>2646980</v>
      </c>
      <c r="AA77" s="754">
        <f>SUMIFS($AA$35:$AA$73,$G$35:$G$73,$G$77,$O$35:$O$73,"SF 21-27 (taotletav raha)")</f>
        <v>643445</v>
      </c>
      <c r="AB77" s="755">
        <f>SUMIFS($AB$35:$AB$73,$G$35:$G$73,$G$77,$O$35:$O$73,"SF 21-27 (taotletav raha)")</f>
        <v>0</v>
      </c>
      <c r="AC77" s="756">
        <f>SUMIFS($AC$35:$AC$73,$G$35:$G$73,$G$77,$O$35:$O$73,"SF 21-27 (taotletav raha)")</f>
        <v>3959851</v>
      </c>
      <c r="AD77" s="754">
        <f>SUMIFS($AD$35:$AD$73,$G$35:$G$73,$G$77,$O$35:$O$73,"SF 21-27 (taotletav raha)")</f>
        <v>1057105</v>
      </c>
      <c r="AE77" s="755">
        <f>SUMIFS($AE$35:$AE$73,$G$35:$G$73,$G$77,$O$35:$O$73,"SF 21-27 (taotletav raha)")</f>
        <v>0</v>
      </c>
    </row>
    <row r="78" spans="1:45" ht="15" thickBot="1" x14ac:dyDescent="0.4">
      <c r="E78" s="234" t="s">
        <v>275</v>
      </c>
      <c r="F78" s="751" t="s">
        <v>276</v>
      </c>
      <c r="G78" s="234" t="s">
        <v>249</v>
      </c>
      <c r="J78" s="234"/>
      <c r="O78" s="751" t="s">
        <v>135</v>
      </c>
      <c r="P78" s="233"/>
      <c r="T78" s="246" t="s">
        <v>277</v>
      </c>
      <c r="U78" s="246"/>
      <c r="V78" s="246"/>
      <c r="W78" s="241">
        <f>W77*1.2</f>
        <v>0</v>
      </c>
      <c r="X78" s="123">
        <f>X77</f>
        <v>0</v>
      </c>
      <c r="Y78" s="124">
        <f>Y77*1.2</f>
        <v>0</v>
      </c>
      <c r="Z78" s="757">
        <f>Z77*1.22</f>
        <v>3229315.6</v>
      </c>
      <c r="AA78" s="758">
        <f t="shared" ref="AA78" si="51">AA77</f>
        <v>643445</v>
      </c>
      <c r="AB78" s="759">
        <f t="shared" ref="AB78" si="52">AB77*1.22</f>
        <v>0</v>
      </c>
      <c r="AC78" s="757">
        <f>AC77*1.22</f>
        <v>4831018.22</v>
      </c>
      <c r="AD78" s="758">
        <f t="shared" ref="AD78" si="53">AD77</f>
        <v>1057105</v>
      </c>
      <c r="AE78" s="759">
        <f t="shared" ref="AE78" si="54">AE77*1.22</f>
        <v>0</v>
      </c>
    </row>
    <row r="79" spans="1:45" ht="15" thickBot="1" x14ac:dyDescent="0.4">
      <c r="E79" s="234" t="s">
        <v>247</v>
      </c>
      <c r="F79" s="751" t="s">
        <v>112</v>
      </c>
      <c r="G79" s="234" t="s">
        <v>121</v>
      </c>
      <c r="J79" s="234"/>
      <c r="O79" s="751" t="s">
        <v>254</v>
      </c>
      <c r="P79" s="233"/>
      <c r="W79" s="247"/>
      <c r="X79" s="247"/>
      <c r="Y79" s="247"/>
    </row>
    <row r="80" spans="1:45" x14ac:dyDescent="0.35">
      <c r="F80" s="751" t="s">
        <v>201</v>
      </c>
      <c r="G80" s="234" t="s">
        <v>133</v>
      </c>
      <c r="J80" s="234"/>
      <c r="O80" s="751" t="s">
        <v>278</v>
      </c>
      <c r="P80" s="233"/>
      <c r="T80" s="1" t="s">
        <v>8</v>
      </c>
      <c r="W80" s="243">
        <f>SUMIFS(W35:W73,G35:G73,$G$78,O35:O73,"SF 21-27 (taotletav raha)")</f>
        <v>0</v>
      </c>
      <c r="X80" s="244">
        <f>SUMIFS(X35:X73,G35:G73,$G$78,O35:O73,"SF 21-27 (taotletav raha)")</f>
        <v>0</v>
      </c>
      <c r="Y80" s="245">
        <f>SUMIFS(Y35:Y73,G35:G73,$G$78,O35:O73,"SF 21-27 (taotletav raha)")</f>
        <v>0</v>
      </c>
      <c r="Z80" s="756">
        <f>SUMIFS(Z35:Z73,G35:G73,$G$78,O35:O73,"SF 21-27 (taotletav raha)")</f>
        <v>0</v>
      </c>
      <c r="AA80" s="754">
        <f>SUMIFS(AA35:AA73,G35:G73,$G$78,O35:O73,"SF 21-27 (taotletav raha)")</f>
        <v>0</v>
      </c>
      <c r="AB80" s="755">
        <f>SUMIFS(AB35:AB73,G35:G73,$G$78,O35:O73,"SF 21-27 (taotletav raha)")</f>
        <v>0</v>
      </c>
      <c r="AC80" s="756">
        <f>SUMIFS(AC35:AC73,G35:G73,$G$78,O35:O73,"SF 21-27 (taotletav raha)")</f>
        <v>0</v>
      </c>
      <c r="AD80" s="754">
        <f>SUMIFS(AD35:AD73,G35:G73,$G$78,O35:O73,"SF 21-27 (taotletav raha)")</f>
        <v>0</v>
      </c>
      <c r="AE80" s="755">
        <f>SUMIFS(AE35:AE73,G35:G73,$G$78,O35:O73,"SF 21-27 (taotletav raha)")</f>
        <v>0</v>
      </c>
    </row>
    <row r="81" spans="6:31" ht="15" thickBot="1" x14ac:dyDescent="0.4">
      <c r="F81" s="751" t="s">
        <v>158</v>
      </c>
      <c r="J81" s="234"/>
      <c r="O81" s="751" t="s">
        <v>18</v>
      </c>
      <c r="P81" s="233"/>
      <c r="T81" s="246" t="s">
        <v>277</v>
      </c>
      <c r="W81" s="241">
        <f>W80*1.2</f>
        <v>0</v>
      </c>
      <c r="X81" s="123">
        <f>X80</f>
        <v>0</v>
      </c>
      <c r="Y81" s="124">
        <f>Y80*1.2</f>
        <v>0</v>
      </c>
      <c r="Z81" s="757">
        <f>Z80*1.22</f>
        <v>0</v>
      </c>
      <c r="AA81" s="758">
        <f t="shared" ref="AA81" si="55">AA80</f>
        <v>0</v>
      </c>
      <c r="AB81" s="759">
        <f t="shared" ref="AB81" si="56">AB80*1.22</f>
        <v>0</v>
      </c>
      <c r="AC81" s="757">
        <f>AC80*1.22</f>
        <v>0</v>
      </c>
      <c r="AD81" s="758">
        <f t="shared" ref="AD81" si="57">AD80</f>
        <v>0</v>
      </c>
      <c r="AE81" s="759">
        <f t="shared" ref="AE81" si="58">AE80*1.22</f>
        <v>0</v>
      </c>
    </row>
    <row r="82" spans="6:31" ht="15" thickBot="1" x14ac:dyDescent="0.4">
      <c r="F82" s="751" t="s">
        <v>144</v>
      </c>
      <c r="J82" s="234"/>
      <c r="O82" s="751" t="s">
        <v>279</v>
      </c>
      <c r="P82" s="233"/>
      <c r="W82" s="247"/>
      <c r="X82" s="247"/>
      <c r="Y82" s="247"/>
    </row>
    <row r="83" spans="6:31" x14ac:dyDescent="0.35">
      <c r="F83" s="751" t="s">
        <v>280</v>
      </c>
      <c r="J83" s="234"/>
      <c r="K83" s="712"/>
      <c r="L83" s="712"/>
      <c r="O83" s="751" t="s">
        <v>104</v>
      </c>
      <c r="T83" s="1" t="s">
        <v>281</v>
      </c>
      <c r="W83" s="243">
        <f>SUMIFS(W35:W73,G35:G73,$G$79,O35:O73,"SF 21-27 (taotletav raha)")</f>
        <v>0</v>
      </c>
      <c r="X83" s="244">
        <f>SUMIFS(X35:X73,G35:G73,$G$79,O35:O73,"SF 21-27 (taotletav raha)")</f>
        <v>18646</v>
      </c>
      <c r="Y83" s="245">
        <f>SUMIFS(Y35:Y73,G35:G73,$G$79,O35:O73,"SF 21-27 (taotletav raha)")</f>
        <v>0</v>
      </c>
      <c r="Z83" s="756">
        <f>SUMIFS(Z35:Z73,G35:G73,$G$79,O35:O73,"SF 21-27 (taotletav raha)")</f>
        <v>0</v>
      </c>
      <c r="AA83" s="754">
        <f>SUMIFS(AA35:AA73,G35:G73,$G$79,O35:O73,"SF 21-27 (taotletav raha)")</f>
        <v>78852</v>
      </c>
      <c r="AB83" s="755">
        <f>SUMIFS(AB35:AB73,G35:G73,$G$79,O35:O73,"SF 21-27 (taotletav raha)")</f>
        <v>180000</v>
      </c>
      <c r="AC83" s="756">
        <f>SUMIFS(AC35:AC73,G35:G73,$G$79,O35:O73,"SF 21-27 (taotletav raha)")</f>
        <v>0</v>
      </c>
      <c r="AD83" s="754">
        <f>SUMIFS(AD35:AD73,G35:G73,$G$79,O35:O73,"SF 21-27 (taotletav raha)")</f>
        <v>82794.600000000006</v>
      </c>
      <c r="AE83" s="755">
        <f>SUMIFS(AE35:AE73,G35:G73,$G$79,O35:O73,"SF 21-27 (taotletav raha)")</f>
        <v>100000</v>
      </c>
    </row>
    <row r="84" spans="6:31" ht="15" thickBot="1" x14ac:dyDescent="0.4">
      <c r="F84" s="751" t="s">
        <v>152</v>
      </c>
      <c r="J84" s="234"/>
      <c r="K84" s="712"/>
      <c r="T84" s="246" t="s">
        <v>277</v>
      </c>
      <c r="W84" s="241">
        <f>W83*1.2</f>
        <v>0</v>
      </c>
      <c r="X84" s="123">
        <f>X83</f>
        <v>18646</v>
      </c>
      <c r="Y84" s="124">
        <f>Y83*1.2</f>
        <v>0</v>
      </c>
      <c r="Z84" s="757">
        <f>Z83*1.22</f>
        <v>0</v>
      </c>
      <c r="AA84" s="758">
        <f t="shared" ref="AA84" si="59">AA83</f>
        <v>78852</v>
      </c>
      <c r="AB84" s="759">
        <f t="shared" ref="AB84" si="60">AB83*1.22</f>
        <v>219600</v>
      </c>
      <c r="AC84" s="757">
        <f>AC83*1.22</f>
        <v>0</v>
      </c>
      <c r="AD84" s="758">
        <f t="shared" ref="AD84" si="61">AD83</f>
        <v>82794.600000000006</v>
      </c>
      <c r="AE84" s="759">
        <f t="shared" ref="AE84" si="62">AE83*1.22</f>
        <v>122000</v>
      </c>
    </row>
    <row r="85" spans="6:31" ht="15" thickBot="1" x14ac:dyDescent="0.4">
      <c r="F85" s="751" t="s">
        <v>282</v>
      </c>
      <c r="J85" s="234"/>
      <c r="K85" s="712"/>
      <c r="W85" s="247"/>
      <c r="X85" s="247"/>
      <c r="Y85" s="247"/>
    </row>
    <row r="86" spans="6:31" x14ac:dyDescent="0.35">
      <c r="F86" s="751" t="s">
        <v>283</v>
      </c>
      <c r="J86" s="234"/>
      <c r="K86" s="712"/>
      <c r="T86" s="1" t="s">
        <v>10</v>
      </c>
      <c r="W86" s="243">
        <f>SUMIFS(W35:W73,G35:G73,$G$80,O35:O73,"SF 21-27 (taotletav raha)")</f>
        <v>0</v>
      </c>
      <c r="X86" s="244">
        <f>SUMIFS(X35:X73,G35:G73,$G$80,O35:O73,"SF 21-27 (taotletav raha)")</f>
        <v>0</v>
      </c>
      <c r="Y86" s="245">
        <f>SUMIFS(Y35:Y73,G35:G73,$G$80,O35:O73,"SF 21-27 (taotletav raha)")</f>
        <v>0</v>
      </c>
      <c r="Z86" s="756">
        <f>SUMIFS(Z35:Z73,G35:G73,$G$80,O35:O73,"SF 21-27 (taotletav raha)")</f>
        <v>0</v>
      </c>
      <c r="AA86" s="754">
        <f>SUMIFS(AA35:AA73,G35:G73,$G$80,O35:O73,"SF 21-27 (taotletav raha)")</f>
        <v>63936</v>
      </c>
      <c r="AB86" s="755">
        <f>SUMIFS(AB35:AB73,G35:G73,$G$80,O35:O73,"SF 21-27 (taotletav raha)")</f>
        <v>120000</v>
      </c>
      <c r="AC86" s="756">
        <f>SUMIFS(AC35:AC73,G35:G73,$G$80,O35:O73,"SF 21-27 (taotletav raha)")</f>
        <v>0</v>
      </c>
      <c r="AD86" s="754">
        <f>SUMIFS(AD35:AD73,G35:G73,$G$80,O35:O73,"SF 21-27 (taotletav raha)")</f>
        <v>123936.75</v>
      </c>
      <c r="AE86" s="755">
        <f>SUMIFS(AE35:AE73,G35:G73,$G$80,O35:O73,"SF 21-27 (taotletav raha)")</f>
        <v>90000</v>
      </c>
    </row>
    <row r="87" spans="6:31" ht="15" thickBot="1" x14ac:dyDescent="0.4">
      <c r="F87" s="751" t="s">
        <v>120</v>
      </c>
      <c r="J87" s="234"/>
      <c r="T87" s="246" t="s">
        <v>277</v>
      </c>
      <c r="W87" s="241">
        <f>W86*1.2</f>
        <v>0</v>
      </c>
      <c r="X87" s="123">
        <f>X86</f>
        <v>0</v>
      </c>
      <c r="Y87" s="124">
        <f>Y86*1.2</f>
        <v>0</v>
      </c>
      <c r="Z87" s="757">
        <f>Z86*1.22</f>
        <v>0</v>
      </c>
      <c r="AA87" s="758">
        <f t="shared" ref="AA87" si="63">AA86</f>
        <v>63936</v>
      </c>
      <c r="AB87" s="759">
        <f t="shared" ref="AB87" si="64">AB86*1.22</f>
        <v>146400</v>
      </c>
      <c r="AC87" s="757">
        <f>AC86*1.22</f>
        <v>0</v>
      </c>
      <c r="AD87" s="758">
        <f t="shared" ref="AD87" si="65">AD86</f>
        <v>123936.75</v>
      </c>
      <c r="AE87" s="759">
        <f t="shared" ref="AE87" si="66">AE86*1.22</f>
        <v>109800</v>
      </c>
    </row>
    <row r="88" spans="6:31" x14ac:dyDescent="0.35">
      <c r="F88" s="751" t="s">
        <v>284</v>
      </c>
      <c r="J88" s="234"/>
      <c r="K88" s="712"/>
    </row>
    <row r="89" spans="6:31" x14ac:dyDescent="0.35">
      <c r="F89" s="751" t="s">
        <v>285</v>
      </c>
      <c r="J89" s="234"/>
      <c r="K89" s="712"/>
    </row>
    <row r="90" spans="6:31" x14ac:dyDescent="0.35">
      <c r="F90" s="751" t="s">
        <v>286</v>
      </c>
      <c r="J90" s="234"/>
      <c r="K90" s="712"/>
    </row>
    <row r="91" spans="6:31" ht="15" thickBot="1" x14ac:dyDescent="0.4">
      <c r="F91" s="751" t="s">
        <v>287</v>
      </c>
      <c r="J91" s="234"/>
      <c r="K91" s="712"/>
      <c r="T91" s="242" t="s">
        <v>288</v>
      </c>
    </row>
    <row r="92" spans="6:31" x14ac:dyDescent="0.35">
      <c r="F92" s="751" t="s">
        <v>289</v>
      </c>
      <c r="J92" s="234"/>
      <c r="K92" s="712"/>
      <c r="T92" s="1" t="s">
        <v>7</v>
      </c>
      <c r="W92" s="243">
        <f t="shared" ref="W92:AE92" si="67">SUMIFS(W$35:W$73, $G$35:$G$73, $G$77, $O$35:$O$73, "Baaseelarve")+SUMIFS(W$35:W$73, $G$35:$G$73, $G$77, $O$35:$O$73, "Muu rahastus")+SUMIFS(W$35:W$73, $G$35:$G$73, $G$77, $O$35:$O$73, "Reserv (SR)")+SUMIFS(W$35:W$73, $G$35:$G$73, $G$77, $O$35:$O$73, "RRF")+SUMIFS(W$35:W$73, $G$35:$G$73, $G$77, $O$35:$O$73, "SF 14-20 (töös olev projekt)")</f>
        <v>0</v>
      </c>
      <c r="X92" s="244">
        <f t="shared" si="67"/>
        <v>0</v>
      </c>
      <c r="Y92" s="525">
        <f t="shared" si="67"/>
        <v>0</v>
      </c>
      <c r="Z92" s="753">
        <f t="shared" si="67"/>
        <v>0</v>
      </c>
      <c r="AA92" s="760">
        <f t="shared" si="67"/>
        <v>0</v>
      </c>
      <c r="AB92" s="761">
        <f t="shared" si="67"/>
        <v>0</v>
      </c>
      <c r="AC92" s="762">
        <f t="shared" si="67"/>
        <v>0</v>
      </c>
      <c r="AD92" s="760">
        <f t="shared" si="67"/>
        <v>0</v>
      </c>
      <c r="AE92" s="761">
        <f t="shared" si="67"/>
        <v>0</v>
      </c>
    </row>
    <row r="93" spans="6:31" ht="15" thickBot="1" x14ac:dyDescent="0.4">
      <c r="F93" s="751" t="s">
        <v>290</v>
      </c>
      <c r="J93" s="234"/>
      <c r="K93" s="712"/>
      <c r="T93" s="246" t="s">
        <v>277</v>
      </c>
      <c r="W93" s="241">
        <f>W92*1.2</f>
        <v>0</v>
      </c>
      <c r="X93" s="123">
        <f>X92</f>
        <v>0</v>
      </c>
      <c r="Y93" s="526">
        <f>Y92*1.2</f>
        <v>0</v>
      </c>
      <c r="Z93" s="757">
        <f>Z92*1.22</f>
        <v>0</v>
      </c>
      <c r="AA93" s="758">
        <f t="shared" ref="AA93" si="68">AA92</f>
        <v>0</v>
      </c>
      <c r="AB93" s="759">
        <f t="shared" ref="AB93" si="69">AB92*1.22</f>
        <v>0</v>
      </c>
      <c r="AC93" s="763">
        <f>AC92*1.22</f>
        <v>0</v>
      </c>
      <c r="AD93" s="758">
        <f t="shared" ref="AD93" si="70">AD92</f>
        <v>0</v>
      </c>
      <c r="AE93" s="759">
        <f t="shared" ref="AE93" si="71">AE92*1.22</f>
        <v>0</v>
      </c>
    </row>
    <row r="94" spans="6:31" ht="15" thickBot="1" x14ac:dyDescent="0.4">
      <c r="F94" s="751" t="s">
        <v>291</v>
      </c>
      <c r="J94" s="234"/>
      <c r="K94" s="712"/>
      <c r="W94" s="247"/>
      <c r="X94" s="247"/>
      <c r="Y94" s="247"/>
      <c r="Z94" s="712"/>
      <c r="AA94" s="712"/>
      <c r="AB94" s="712"/>
      <c r="AC94" s="712"/>
      <c r="AD94" s="712"/>
      <c r="AE94" s="712"/>
    </row>
    <row r="95" spans="6:31" x14ac:dyDescent="0.35">
      <c r="F95" s="751" t="s">
        <v>248</v>
      </c>
      <c r="J95" s="234"/>
      <c r="T95" s="1" t="s">
        <v>8</v>
      </c>
      <c r="W95" s="243">
        <f t="shared" ref="W95:AE95" si="72">SUMIFS(W$35:W$73, $G$35:$G$73, $G$78, $O$35:$O$73, "Baaseelarve")+SUMIFS(W$35:W$73, $G$35:$G$73, $G$78, $O$35:$O$73, "Muu rahastus")+SUMIFS(W$35:W$73, $G$35:$G$73, $G$78, $O$35:$O$73, "Reserv (SR)")+SUMIFS(W$35:W$73, $G$35:$G$73, $G$78, $O$35:$O$73, "RRF")+SUMIFS(W$35:W$73, $G$35:$G$73, $G$78, $O$35:$O$73, "SF 14-20 (töös olev projekt)")</f>
        <v>0</v>
      </c>
      <c r="X95" s="244">
        <f t="shared" si="72"/>
        <v>0</v>
      </c>
      <c r="Y95" s="525">
        <f t="shared" si="72"/>
        <v>0</v>
      </c>
      <c r="Z95" s="753">
        <f t="shared" si="72"/>
        <v>0</v>
      </c>
      <c r="AA95" s="760">
        <f t="shared" si="72"/>
        <v>0</v>
      </c>
      <c r="AB95" s="761">
        <f t="shared" si="72"/>
        <v>0</v>
      </c>
      <c r="AC95" s="762">
        <f t="shared" si="72"/>
        <v>0</v>
      </c>
      <c r="AD95" s="760">
        <f t="shared" si="72"/>
        <v>0</v>
      </c>
      <c r="AE95" s="761">
        <f t="shared" si="72"/>
        <v>0</v>
      </c>
    </row>
    <row r="96" spans="6:31" ht="15" thickBot="1" x14ac:dyDescent="0.4">
      <c r="I96" s="752"/>
      <c r="J96" s="234"/>
      <c r="T96" s="246" t="s">
        <v>277</v>
      </c>
      <c r="W96" s="241">
        <f>W95*1.2</f>
        <v>0</v>
      </c>
      <c r="X96" s="123">
        <f>X95</f>
        <v>0</v>
      </c>
      <c r="Y96" s="526">
        <f>Y95*1.2</f>
        <v>0</v>
      </c>
      <c r="Z96" s="757">
        <f>Z95*1.22</f>
        <v>0</v>
      </c>
      <c r="AA96" s="758">
        <f t="shared" ref="AA96" si="73">AA95</f>
        <v>0</v>
      </c>
      <c r="AB96" s="759">
        <f t="shared" ref="AB96" si="74">AB95*1.22</f>
        <v>0</v>
      </c>
      <c r="AC96" s="763">
        <f>AC95*1.22</f>
        <v>0</v>
      </c>
      <c r="AD96" s="758">
        <f t="shared" ref="AD96" si="75">AD95</f>
        <v>0</v>
      </c>
      <c r="AE96" s="759">
        <f t="shared" ref="AE96" si="76">AE95*1.22</f>
        <v>0</v>
      </c>
    </row>
    <row r="97" spans="8:31" ht="15" thickBot="1" x14ac:dyDescent="0.4">
      <c r="H97" s="752"/>
      <c r="J97" s="234"/>
      <c r="W97" s="247"/>
      <c r="X97" s="247"/>
      <c r="Y97" s="247"/>
      <c r="Z97" s="712"/>
      <c r="AA97" s="712"/>
      <c r="AB97" s="712"/>
      <c r="AC97" s="712"/>
      <c r="AD97" s="712"/>
      <c r="AE97" s="712"/>
    </row>
    <row r="98" spans="8:31" x14ac:dyDescent="0.35">
      <c r="T98" s="1" t="s">
        <v>281</v>
      </c>
      <c r="W98" s="243">
        <f t="shared" ref="W98:AE98" si="77">SUMIFS(W$35:W$73, $G$35:$G$73, $G$79, $O$35:$O$73, "Baaseelarve")+SUMIFS(W$35:W$73, $G$35:$G$73, $G$79, $O$35:$O$73, "Muu rahastus")+SUMIFS(W$35:W$73, $G$35:$G$73, $G$79, $O$35:$O$73, "Reserv (SR)")+SUMIFS(W$35:W$73, $G$35:$G$73, $G$79, $O$35:$O$73, "RRF")+SUMIFS(W$35:W$73, $G$35:$G$73, $G$79, $O$35:$O$73, "SF 14-20 (töös olev projekt)")</f>
        <v>0</v>
      </c>
      <c r="X98" s="244">
        <f t="shared" si="77"/>
        <v>0</v>
      </c>
      <c r="Y98" s="525">
        <f t="shared" si="77"/>
        <v>0</v>
      </c>
      <c r="Z98" s="753">
        <f t="shared" si="77"/>
        <v>0</v>
      </c>
      <c r="AA98" s="760">
        <f t="shared" si="77"/>
        <v>0</v>
      </c>
      <c r="AB98" s="761">
        <f t="shared" si="77"/>
        <v>0</v>
      </c>
      <c r="AC98" s="762">
        <f t="shared" si="77"/>
        <v>0</v>
      </c>
      <c r="AD98" s="760">
        <f t="shared" si="77"/>
        <v>0</v>
      </c>
      <c r="AE98" s="761">
        <f t="shared" si="77"/>
        <v>0</v>
      </c>
    </row>
    <row r="99" spans="8:31" ht="15" thickBot="1" x14ac:dyDescent="0.4">
      <c r="T99" s="246" t="s">
        <v>277</v>
      </c>
      <c r="W99" s="241">
        <f>W98*1.2</f>
        <v>0</v>
      </c>
      <c r="X99" s="123">
        <f>X98</f>
        <v>0</v>
      </c>
      <c r="Y99" s="526">
        <f>Y98*1.2</f>
        <v>0</v>
      </c>
      <c r="Z99" s="757">
        <f>Z98*1.22</f>
        <v>0</v>
      </c>
      <c r="AA99" s="758">
        <f t="shared" ref="AA99" si="78">AA98</f>
        <v>0</v>
      </c>
      <c r="AB99" s="759">
        <f t="shared" ref="AB99" si="79">AB98*1.22</f>
        <v>0</v>
      </c>
      <c r="AC99" s="763">
        <f>AC98*1.22</f>
        <v>0</v>
      </c>
      <c r="AD99" s="758">
        <f t="shared" ref="AD99" si="80">AD98</f>
        <v>0</v>
      </c>
      <c r="AE99" s="759">
        <f t="shared" ref="AE99" si="81">AE98*1.22</f>
        <v>0</v>
      </c>
    </row>
    <row r="100" spans="8:31" ht="15" thickBot="1" x14ac:dyDescent="0.4">
      <c r="W100" s="247"/>
      <c r="X100" s="247"/>
      <c r="Y100" s="247"/>
      <c r="Z100" s="712"/>
      <c r="AA100" s="712"/>
      <c r="AB100" s="712"/>
      <c r="AC100" s="712"/>
      <c r="AD100" s="712"/>
      <c r="AE100" s="712"/>
    </row>
    <row r="101" spans="8:31" x14ac:dyDescent="0.35">
      <c r="T101" s="1" t="s">
        <v>10</v>
      </c>
      <c r="W101" s="243">
        <f t="shared" ref="W101:AE101" si="82">SUMIFS(W$35:W$73, $G$35:$G$73, $G$80, $O$35:$O$73, "Baaseelarve")+SUMIFS(W$35:W$73, $G$35:$G$73, $G$80, $O$35:$O$73, "Muu rahastus")+SUMIFS(W$35:W$73, $G$35:$G$73, $G$80, $O$35:$O$73, "Reserv (SR)")+SUMIFS(W$35:W$73, $G$35:$G$73, $G$80, $O$35:$O$73, "RRF")+SUMIFS(W$35:W$73, $G$35:$G$73, $G$80, $O$35:$O$73, "SF 14-20 (töös olev projekt)")</f>
        <v>1849600</v>
      </c>
      <c r="X101" s="244">
        <f t="shared" si="82"/>
        <v>604350</v>
      </c>
      <c r="Y101" s="525">
        <f t="shared" si="82"/>
        <v>63517</v>
      </c>
      <c r="Z101" s="753">
        <f t="shared" si="82"/>
        <v>10051361.039999999</v>
      </c>
      <c r="AA101" s="760">
        <f t="shared" si="82"/>
        <v>2078688.5</v>
      </c>
      <c r="AB101" s="761">
        <f t="shared" si="82"/>
        <v>113148</v>
      </c>
      <c r="AC101" s="762">
        <f t="shared" si="82"/>
        <v>2872038.22</v>
      </c>
      <c r="AD101" s="760">
        <f t="shared" si="82"/>
        <v>931855.5</v>
      </c>
      <c r="AE101" s="761">
        <f t="shared" si="82"/>
        <v>211483.69</v>
      </c>
    </row>
    <row r="102" spans="8:31" ht="15" thickBot="1" x14ac:dyDescent="0.4">
      <c r="T102" s="246" t="s">
        <v>277</v>
      </c>
      <c r="W102" s="241">
        <f>W101*1.2</f>
        <v>2219520</v>
      </c>
      <c r="X102" s="123">
        <f>X101</f>
        <v>604350</v>
      </c>
      <c r="Y102" s="526">
        <f>Y101*1.2</f>
        <v>76220.399999999994</v>
      </c>
      <c r="Z102" s="757">
        <f>Z101*1.22</f>
        <v>12262660.468799999</v>
      </c>
      <c r="AA102" s="758">
        <f t="shared" ref="AA102" si="83">AA101</f>
        <v>2078688.5</v>
      </c>
      <c r="AB102" s="759">
        <f t="shared" ref="AB102" si="84">AB101*1.22</f>
        <v>138040.56</v>
      </c>
      <c r="AC102" s="763">
        <f>AC101*1.22</f>
        <v>3503886.6284000003</v>
      </c>
      <c r="AD102" s="758">
        <f t="shared" ref="AD102" si="85">AD101</f>
        <v>931855.5</v>
      </c>
      <c r="AE102" s="759">
        <f t="shared" ref="AE102" si="86">AE101*1.22</f>
        <v>258010.1018</v>
      </c>
    </row>
    <row r="103" spans="8:31" x14ac:dyDescent="0.35">
      <c r="W103" s="247"/>
      <c r="X103" s="247"/>
      <c r="Y103" s="247"/>
      <c r="Z103" s="712"/>
      <c r="AA103" s="712"/>
      <c r="AB103" s="712"/>
      <c r="AC103" s="712"/>
      <c r="AD103" s="712"/>
      <c r="AE103" s="712"/>
    </row>
    <row r="104" spans="8:31" x14ac:dyDescent="0.35">
      <c r="W104" s="247"/>
      <c r="X104" s="247"/>
      <c r="Y104" s="247"/>
      <c r="Z104" s="712"/>
      <c r="AA104" s="712"/>
      <c r="AB104" s="712"/>
      <c r="AC104" s="712"/>
      <c r="AD104" s="712"/>
      <c r="AE104" s="712"/>
    </row>
    <row r="105" spans="8:31" x14ac:dyDescent="0.35">
      <c r="W105" s="247"/>
      <c r="X105" s="247"/>
      <c r="Y105" s="247"/>
      <c r="Z105" s="712"/>
      <c r="AA105" s="712"/>
      <c r="AB105" s="712"/>
      <c r="AC105" s="712"/>
      <c r="AD105" s="712"/>
      <c r="AE105" s="712"/>
    </row>
    <row r="106" spans="8:31" ht="15" thickBot="1" x14ac:dyDescent="0.4">
      <c r="T106" s="242" t="s">
        <v>254</v>
      </c>
    </row>
    <row r="107" spans="8:31" x14ac:dyDescent="0.35">
      <c r="T107" s="1" t="s">
        <v>7</v>
      </c>
      <c r="W107" s="243">
        <f t="shared" ref="W107:AE107" si="87">SUMIFS(W$35:W$73,$G$35:$G$73,$G$77,$O$35:$O$73,$O$79)</f>
        <v>0</v>
      </c>
      <c r="X107" s="244">
        <f t="shared" si="87"/>
        <v>0</v>
      </c>
      <c r="Y107" s="525">
        <f t="shared" si="87"/>
        <v>0</v>
      </c>
      <c r="Z107" s="753">
        <f t="shared" si="87"/>
        <v>0</v>
      </c>
      <c r="AA107" s="760">
        <f t="shared" si="87"/>
        <v>0</v>
      </c>
      <c r="AB107" s="761">
        <f t="shared" si="87"/>
        <v>0</v>
      </c>
      <c r="AC107" s="762">
        <f t="shared" si="87"/>
        <v>0</v>
      </c>
      <c r="AD107" s="760">
        <f t="shared" si="87"/>
        <v>0</v>
      </c>
      <c r="AE107" s="761">
        <f t="shared" si="87"/>
        <v>0</v>
      </c>
    </row>
    <row r="108" spans="8:31" ht="15" thickBot="1" x14ac:dyDescent="0.4">
      <c r="T108" s="246" t="s">
        <v>277</v>
      </c>
      <c r="W108" s="241">
        <f>W107*1.2</f>
        <v>0</v>
      </c>
      <c r="X108" s="123">
        <f>X107</f>
        <v>0</v>
      </c>
      <c r="Y108" s="526">
        <f>Y107*1.2</f>
        <v>0</v>
      </c>
      <c r="Z108" s="757">
        <f>Z107*1.22</f>
        <v>0</v>
      </c>
      <c r="AA108" s="758">
        <f t="shared" ref="AA108" si="88">AA107</f>
        <v>0</v>
      </c>
      <c r="AB108" s="759">
        <f t="shared" ref="AB108" si="89">AB107*1.22</f>
        <v>0</v>
      </c>
      <c r="AC108" s="763">
        <f>AC107*1.22</f>
        <v>0</v>
      </c>
      <c r="AD108" s="758">
        <f t="shared" ref="AD108" si="90">AD107</f>
        <v>0</v>
      </c>
      <c r="AE108" s="759">
        <f t="shared" ref="AE108" si="91">AE107*1.22</f>
        <v>0</v>
      </c>
    </row>
    <row r="109" spans="8:31" ht="15" thickBot="1" x14ac:dyDescent="0.4">
      <c r="W109" s="247"/>
      <c r="X109" s="247"/>
      <c r="Y109" s="247"/>
      <c r="Z109" s="712"/>
      <c r="AA109" s="712"/>
      <c r="AB109" s="712"/>
      <c r="AC109" s="712"/>
      <c r="AD109" s="712"/>
      <c r="AE109" s="712"/>
    </row>
    <row r="110" spans="8:31" x14ac:dyDescent="0.35">
      <c r="T110" s="1" t="s">
        <v>8</v>
      </c>
      <c r="W110" s="243">
        <f t="shared" ref="W110:AE110" si="92">SUMIFS(W$35:W$73,$G$35:$G$73,$G$78,$O$35:$O$73,$O$79)</f>
        <v>0</v>
      </c>
      <c r="X110" s="244">
        <f t="shared" si="92"/>
        <v>0</v>
      </c>
      <c r="Y110" s="525">
        <f t="shared" si="92"/>
        <v>0</v>
      </c>
      <c r="Z110" s="753">
        <f t="shared" si="92"/>
        <v>0</v>
      </c>
      <c r="AA110" s="760">
        <f t="shared" si="92"/>
        <v>0</v>
      </c>
      <c r="AB110" s="761">
        <f t="shared" si="92"/>
        <v>0</v>
      </c>
      <c r="AC110" s="762">
        <f t="shared" si="92"/>
        <v>497000</v>
      </c>
      <c r="AD110" s="760">
        <f t="shared" si="92"/>
        <v>161800</v>
      </c>
      <c r="AE110" s="761">
        <f t="shared" si="92"/>
        <v>263900</v>
      </c>
    </row>
    <row r="111" spans="8:31" ht="15" thickBot="1" x14ac:dyDescent="0.4">
      <c r="T111" s="246" t="s">
        <v>277</v>
      </c>
      <c r="W111" s="241">
        <f>W110*1.2</f>
        <v>0</v>
      </c>
      <c r="X111" s="123">
        <f>X110</f>
        <v>0</v>
      </c>
      <c r="Y111" s="526">
        <f>Y110*1.2</f>
        <v>0</v>
      </c>
      <c r="Z111" s="757">
        <f>Z110*1.22</f>
        <v>0</v>
      </c>
      <c r="AA111" s="758">
        <f t="shared" ref="AA111" si="93">AA110</f>
        <v>0</v>
      </c>
      <c r="AB111" s="759">
        <f t="shared" ref="AB111" si="94">AB110*1.22</f>
        <v>0</v>
      </c>
      <c r="AC111" s="763">
        <f>AC110*1.22</f>
        <v>606340</v>
      </c>
      <c r="AD111" s="758">
        <f t="shared" ref="AD111" si="95">AD110</f>
        <v>161800</v>
      </c>
      <c r="AE111" s="759">
        <f t="shared" ref="AE111" si="96">AE110*1.22</f>
        <v>321958</v>
      </c>
    </row>
    <row r="112" spans="8:31" ht="15" thickBot="1" x14ac:dyDescent="0.4">
      <c r="W112" s="247"/>
      <c r="X112" s="247"/>
      <c r="Y112" s="247"/>
      <c r="Z112" s="712"/>
      <c r="AA112" s="712"/>
      <c r="AB112" s="712"/>
      <c r="AC112" s="712"/>
      <c r="AD112" s="712"/>
      <c r="AE112" s="712"/>
    </row>
    <row r="113" spans="19:31" x14ac:dyDescent="0.35">
      <c r="T113" s="1" t="s">
        <v>281</v>
      </c>
      <c r="W113" s="243">
        <f t="shared" ref="W113:AE113" si="97">SUMIFS(W$35:W$73,$G$35:$G$73,$G$79,$O$35:$O$73,$O$79)</f>
        <v>0</v>
      </c>
      <c r="X113" s="244">
        <f t="shared" si="97"/>
        <v>0</v>
      </c>
      <c r="Y113" s="525">
        <f t="shared" si="97"/>
        <v>0</v>
      </c>
      <c r="Z113" s="753">
        <f t="shared" si="97"/>
        <v>0</v>
      </c>
      <c r="AA113" s="760">
        <f t="shared" si="97"/>
        <v>0</v>
      </c>
      <c r="AB113" s="761">
        <f t="shared" si="97"/>
        <v>0</v>
      </c>
      <c r="AC113" s="762">
        <f t="shared" si="97"/>
        <v>0</v>
      </c>
      <c r="AD113" s="760">
        <f t="shared" si="97"/>
        <v>0</v>
      </c>
      <c r="AE113" s="761">
        <f t="shared" si="97"/>
        <v>0</v>
      </c>
    </row>
    <row r="114" spans="19:31" ht="15" thickBot="1" x14ac:dyDescent="0.4">
      <c r="T114" s="246" t="s">
        <v>277</v>
      </c>
      <c r="W114" s="241">
        <f>W113*1.2</f>
        <v>0</v>
      </c>
      <c r="X114" s="123">
        <f>X113</f>
        <v>0</v>
      </c>
      <c r="Y114" s="526">
        <f>Y113*1.2</f>
        <v>0</v>
      </c>
      <c r="Z114" s="757">
        <f>Z113*1.22</f>
        <v>0</v>
      </c>
      <c r="AA114" s="758">
        <f t="shared" ref="AA114" si="98">AA113</f>
        <v>0</v>
      </c>
      <c r="AB114" s="759">
        <f t="shared" ref="AB114" si="99">AB113*1.22</f>
        <v>0</v>
      </c>
      <c r="AC114" s="763">
        <f>AC113*1.22</f>
        <v>0</v>
      </c>
      <c r="AD114" s="758">
        <f t="shared" ref="AD114" si="100">AD113</f>
        <v>0</v>
      </c>
      <c r="AE114" s="759">
        <f t="shared" ref="AE114" si="101">AE113*1.22</f>
        <v>0</v>
      </c>
    </row>
    <row r="115" spans="19:31" ht="15" thickBot="1" x14ac:dyDescent="0.4">
      <c r="W115" s="247"/>
      <c r="X115" s="247"/>
      <c r="Y115" s="247"/>
      <c r="Z115" s="712"/>
      <c r="AA115" s="712"/>
      <c r="AB115" s="712"/>
      <c r="AC115" s="712"/>
      <c r="AD115" s="712"/>
      <c r="AE115" s="712"/>
    </row>
    <row r="116" spans="19:31" x14ac:dyDescent="0.35">
      <c r="T116" s="1" t="s">
        <v>10</v>
      </c>
      <c r="W116" s="243">
        <f t="shared" ref="W116:AE116" si="102">SUMIFS(W$35:W$73,$G$35:$G$73,$G$80,$O$35:$O$73,$O$79)</f>
        <v>0</v>
      </c>
      <c r="X116" s="244">
        <f t="shared" si="102"/>
        <v>0</v>
      </c>
      <c r="Y116" s="525">
        <f t="shared" si="102"/>
        <v>0</v>
      </c>
      <c r="Z116" s="753">
        <f t="shared" si="102"/>
        <v>0</v>
      </c>
      <c r="AA116" s="760">
        <f t="shared" si="102"/>
        <v>0</v>
      </c>
      <c r="AB116" s="761">
        <f t="shared" si="102"/>
        <v>0</v>
      </c>
      <c r="AC116" s="762">
        <f t="shared" si="102"/>
        <v>0</v>
      </c>
      <c r="AD116" s="760">
        <f t="shared" si="102"/>
        <v>0</v>
      </c>
      <c r="AE116" s="761">
        <f t="shared" si="102"/>
        <v>0</v>
      </c>
    </row>
    <row r="117" spans="19:31" ht="15" thickBot="1" x14ac:dyDescent="0.4">
      <c r="T117" s="246" t="s">
        <v>277</v>
      </c>
      <c r="W117" s="241">
        <f>W116*1.2</f>
        <v>0</v>
      </c>
      <c r="X117" s="123">
        <f>X116</f>
        <v>0</v>
      </c>
      <c r="Y117" s="526">
        <f>Y116*1.2</f>
        <v>0</v>
      </c>
      <c r="Z117" s="757">
        <f>Z116*1.22</f>
        <v>0</v>
      </c>
      <c r="AA117" s="758">
        <f t="shared" ref="AA117" si="103">AA116</f>
        <v>0</v>
      </c>
      <c r="AB117" s="759">
        <f t="shared" ref="AB117" si="104">AB116*1.22</f>
        <v>0</v>
      </c>
      <c r="AC117" s="763">
        <f>AC116*1.22</f>
        <v>0</v>
      </c>
      <c r="AD117" s="758">
        <f t="shared" ref="AD117" si="105">AD116</f>
        <v>0</v>
      </c>
      <c r="AE117" s="759">
        <f t="shared" ref="AE117" si="106">AE116*1.22</f>
        <v>0</v>
      </c>
    </row>
    <row r="120" spans="19:31" ht="15" thickBot="1" x14ac:dyDescent="0.4">
      <c r="S120" s="34" t="s">
        <v>292</v>
      </c>
      <c r="T120" s="242" t="s">
        <v>104</v>
      </c>
    </row>
    <row r="121" spans="19:31" x14ac:dyDescent="0.35">
      <c r="T121" s="1" t="s">
        <v>7</v>
      </c>
      <c r="W121" s="528">
        <f>SUMIFS($W$35:$W$43,$G$35:$G$43,$G$77,$O$35:$O$43,"SF 21-27 (taotletav raha)")</f>
        <v>0</v>
      </c>
      <c r="X121" s="529">
        <f>SUMIFS($X$35:$X$43,$G$35:$G$43,$G$77,$O$35:$O$43,"SF 21-27 (taotletav raha)")</f>
        <v>0</v>
      </c>
      <c r="Y121" s="530">
        <f>SUMIFS($Y$35:$Y$43,$G$35:$G$43,$G$77,$O$35:$O$43,"SF 21-27 (taotletav raha)")</f>
        <v>0</v>
      </c>
      <c r="Z121" s="764">
        <f>SUMIFS($Z$35:$Z$43,$G$35:$G$43,$G$77,$O$35:$O$43,"SF 21-27 (taotletav raha)")</f>
        <v>166000</v>
      </c>
      <c r="AA121" s="765">
        <f>SUMIFS($AA$35:$AA$43,$G$35:$G$43,$G$77,$O$35:$O$43,"SF 21-27 (taotletav raha)")</f>
        <v>88456</v>
      </c>
      <c r="AB121" s="766">
        <f>SUMIFS($AB$35:$AB$43,$G$35:$G$43,$G$77,$O$35:$O$43,"SF 21-27 (taotletav raha)")</f>
        <v>0</v>
      </c>
      <c r="AC121" s="767">
        <f>SUMIFS($AC$35:$AC$43,$G$35:$G$43,$G$77,$O$35:$O$43,"SF 21-27 (taotletav raha)")</f>
        <v>862550</v>
      </c>
      <c r="AD121" s="765">
        <f>SUMIFS($AD$35:$AD$43,$G$35:$G$43,$G$77,$O$35:$O$43,"SF 21-27 (taotletav raha)")</f>
        <v>179049</v>
      </c>
      <c r="AE121" s="766">
        <f>SUMIFS($AE$35:$AE$43,$G$35:$G$43,$G$77,$O$35:$O$43,"SF 21-27 (taotletav raha)")</f>
        <v>0</v>
      </c>
    </row>
    <row r="122" spans="19:31" ht="15" thickBot="1" x14ac:dyDescent="0.4">
      <c r="T122" s="246" t="s">
        <v>277</v>
      </c>
      <c r="W122" s="531">
        <f>W121*1.2</f>
        <v>0</v>
      </c>
      <c r="X122" s="532">
        <f>X121</f>
        <v>0</v>
      </c>
      <c r="Y122" s="533">
        <f>Y121*1.2</f>
        <v>0</v>
      </c>
      <c r="Z122" s="768">
        <f>Z121*1.22</f>
        <v>202520</v>
      </c>
      <c r="AA122" s="769">
        <f>AA121</f>
        <v>88456</v>
      </c>
      <c r="AB122" s="770">
        <f>AB121*1.22</f>
        <v>0</v>
      </c>
      <c r="AC122" s="768">
        <f>AC121*1.22</f>
        <v>1052311</v>
      </c>
      <c r="AD122" s="769">
        <f>AD121</f>
        <v>179049</v>
      </c>
      <c r="AE122" s="770">
        <f>AE121*1.22</f>
        <v>0</v>
      </c>
    </row>
    <row r="123" spans="19:31" ht="15" thickBot="1" x14ac:dyDescent="0.4">
      <c r="W123" s="534"/>
      <c r="X123" s="534"/>
      <c r="Y123" s="534"/>
      <c r="Z123" s="771"/>
      <c r="AA123" s="771"/>
      <c r="AB123" s="771"/>
      <c r="AC123" s="771"/>
      <c r="AD123" s="771"/>
      <c r="AE123" s="771"/>
    </row>
    <row r="124" spans="19:31" x14ac:dyDescent="0.35">
      <c r="T124" s="1" t="s">
        <v>8</v>
      </c>
      <c r="W124" s="528">
        <f>SUMIFS($W$35:$W$43,$G$35:$G$43,$G$78,$O$35:$O$43,"SF 21-27 (taotletav raha)")</f>
        <v>0</v>
      </c>
      <c r="X124" s="529">
        <f>SUMIFS($X$35:$X$43,$G$35:$G$43,$G$78,$O$35:$O$43,"SF 21-27 (taotletav raha)")</f>
        <v>0</v>
      </c>
      <c r="Y124" s="530">
        <f>SUMIFS($Y$35:$Y$43,$G$35:$G$43,$G$78,$O$35:$O$43,"SF 21-27 (taotletav raha)")</f>
        <v>0</v>
      </c>
      <c r="Z124" s="764">
        <f>SUMIFS($Z$35:$Z$43,$G$35:$G$43,$G$78,$O$35:$O$43,"SF 21-27 (taotletav raha)")</f>
        <v>0</v>
      </c>
      <c r="AA124" s="765">
        <f>SUMIFS($AA$35:$AA$43,$G$35:$G$43,$G$78,$O$35:$O$43,"SF 21-27 (taotletav raha)")</f>
        <v>0</v>
      </c>
      <c r="AB124" s="766">
        <f>SUMIFS($AB$35:$AB$43,$G$35:$G$43,$G$78,$O$35:$O$43,"SF 21-27 (taotletav raha)")</f>
        <v>0</v>
      </c>
      <c r="AC124" s="767">
        <f>SUMIFS($AC$35:$AC$43,$G$35:$G$43,$G$78,$O$35:$O$43,"SF 21-27 (taotletav raha)")</f>
        <v>0</v>
      </c>
      <c r="AD124" s="765">
        <f>SUMIFS($AD$35:$AD$43,$G$35:$G$43,$G$78,$O$35:$O$43,"SF 21-27 (taotletav raha)")</f>
        <v>0</v>
      </c>
      <c r="AE124" s="766">
        <f>SUMIFS($AE$35:$AE$43,$G$35:$G$43,$G$78,$O$35:$O$43,"SF 21-27 (taotletav raha)")</f>
        <v>0</v>
      </c>
    </row>
    <row r="125" spans="19:31" ht="15" thickBot="1" x14ac:dyDescent="0.4">
      <c r="T125" s="246" t="s">
        <v>277</v>
      </c>
      <c r="W125" s="531">
        <f>W124*1.2</f>
        <v>0</v>
      </c>
      <c r="X125" s="532">
        <f>X124</f>
        <v>0</v>
      </c>
      <c r="Y125" s="533">
        <f>Y124*1.2</f>
        <v>0</v>
      </c>
      <c r="Z125" s="768">
        <f>Z124*1.22</f>
        <v>0</v>
      </c>
      <c r="AA125" s="769">
        <f>AA124</f>
        <v>0</v>
      </c>
      <c r="AB125" s="770">
        <f>AB124*1.22</f>
        <v>0</v>
      </c>
      <c r="AC125" s="768">
        <f>AC124*1.22</f>
        <v>0</v>
      </c>
      <c r="AD125" s="769">
        <f>AD124</f>
        <v>0</v>
      </c>
      <c r="AE125" s="770">
        <f>AE124*1.22</f>
        <v>0</v>
      </c>
    </row>
    <row r="126" spans="19:31" ht="15" thickBot="1" x14ac:dyDescent="0.4">
      <c r="W126" s="534"/>
      <c r="X126" s="534"/>
      <c r="Y126" s="534"/>
      <c r="Z126" s="771"/>
      <c r="AA126" s="771"/>
      <c r="AB126" s="771"/>
      <c r="AC126" s="771"/>
      <c r="AD126" s="771"/>
      <c r="AE126" s="771"/>
    </row>
    <row r="127" spans="19:31" x14ac:dyDescent="0.35">
      <c r="T127" s="1" t="s">
        <v>281</v>
      </c>
      <c r="W127" s="528">
        <f>SUMIFS($W$35:$W$43,$G$35:$G$43,$G$79,$O$35:$O$43,"SF 21-27 (taotletav raha)")</f>
        <v>0</v>
      </c>
      <c r="X127" s="529">
        <f>SUMIFS($X$35:$X$43,$G$35:$G$43,$G$79,$O$35:$O$43,"SF 21-27 (taotletav raha)")</f>
        <v>9323</v>
      </c>
      <c r="Y127" s="530">
        <f>SUMIFS($Y$35:$Y$43,$G$35:$G$43,$G$79,$O$35:$O$43,"SF 21-27 (taotletav raha)")</f>
        <v>0</v>
      </c>
      <c r="Z127" s="764">
        <f>SUMIFS($Z$35:$Z$43,$G$35:$G$43,$G$79,$O$35:$O$43,"SF 21-27 (taotletav raha)")</f>
        <v>0</v>
      </c>
      <c r="AA127" s="765">
        <f>SUMIFS($AA$35:$AA$43,$G$35:$G$43,$G$79,$O$35:$O$43,"SF 21-27 (taotletav raha)")</f>
        <v>39426</v>
      </c>
      <c r="AB127" s="766">
        <f>SUMIFS($AB$35:$AB$43,$G$35:$G$43,$G$79,$O$35:$O$43,"SF 21-27 (taotletav raha)")</f>
        <v>90000</v>
      </c>
      <c r="AC127" s="767">
        <f>SUMIFS($AC$35:$AC$43,$G$35:$G$43,$G$79,$O$35:$O$43,"SF 21-27 (taotletav raha)")</f>
        <v>0</v>
      </c>
      <c r="AD127" s="765">
        <f>SUMIFS($AD$35:$AD$43,$G$35:$G$43,$G$79,$O$35:$O$43,"SF 21-27 (taotletav raha)")</f>
        <v>41397.300000000003</v>
      </c>
      <c r="AE127" s="766">
        <f>SUMIFS($AE$35:$AE$43,$G$35:$G$43,$G$79,$O$35:$O$43,"SF 21-27 (taotletav raha)")</f>
        <v>50000</v>
      </c>
    </row>
    <row r="128" spans="19:31" ht="15" thickBot="1" x14ac:dyDescent="0.4">
      <c r="T128" s="246" t="s">
        <v>277</v>
      </c>
      <c r="W128" s="531">
        <f>W127*1.2</f>
        <v>0</v>
      </c>
      <c r="X128" s="532">
        <f>X127</f>
        <v>9323</v>
      </c>
      <c r="Y128" s="533">
        <f>Y127*1.2</f>
        <v>0</v>
      </c>
      <c r="Z128" s="768">
        <f>Z127*1.22</f>
        <v>0</v>
      </c>
      <c r="AA128" s="769">
        <f>AA127</f>
        <v>39426</v>
      </c>
      <c r="AB128" s="770">
        <f>AB127*1.22</f>
        <v>109800</v>
      </c>
      <c r="AC128" s="768">
        <f>AC127*1.22</f>
        <v>0</v>
      </c>
      <c r="AD128" s="769">
        <f>AD127</f>
        <v>41397.300000000003</v>
      </c>
      <c r="AE128" s="770">
        <f>AE127*1.22</f>
        <v>61000</v>
      </c>
    </row>
    <row r="129" spans="20:31" ht="15" thickBot="1" x14ac:dyDescent="0.4">
      <c r="W129" s="534"/>
      <c r="X129" s="534"/>
      <c r="Y129" s="534"/>
      <c r="Z129" s="771"/>
      <c r="AA129" s="771"/>
      <c r="AB129" s="771"/>
      <c r="AC129" s="771"/>
      <c r="AD129" s="771"/>
      <c r="AE129" s="771"/>
    </row>
    <row r="130" spans="20:31" x14ac:dyDescent="0.35">
      <c r="T130" s="1" t="s">
        <v>10</v>
      </c>
      <c r="W130" s="528">
        <f t="shared" ref="W130:AE130" si="107">SUMIFS(W$35:W$43,$G$35:$G$43,$G$80,$O$35:$O$43,"SF 21-27 (taotletav raha)")</f>
        <v>0</v>
      </c>
      <c r="X130" s="529">
        <f t="shared" si="107"/>
        <v>0</v>
      </c>
      <c r="Y130" s="530">
        <f t="shared" si="107"/>
        <v>0</v>
      </c>
      <c r="Z130" s="764">
        <f t="shared" si="107"/>
        <v>0</v>
      </c>
      <c r="AA130" s="772">
        <f t="shared" si="107"/>
        <v>0</v>
      </c>
      <c r="AB130" s="773">
        <f t="shared" si="107"/>
        <v>0</v>
      </c>
      <c r="AC130" s="764">
        <f t="shared" si="107"/>
        <v>0</v>
      </c>
      <c r="AD130" s="772">
        <f t="shared" si="107"/>
        <v>0</v>
      </c>
      <c r="AE130" s="773">
        <f t="shared" si="107"/>
        <v>0</v>
      </c>
    </row>
    <row r="131" spans="20:31" ht="15" thickBot="1" x14ac:dyDescent="0.4">
      <c r="T131" s="246" t="s">
        <v>277</v>
      </c>
      <c r="W131" s="531">
        <f>W130*1.2</f>
        <v>0</v>
      </c>
      <c r="X131" s="532">
        <f>X130</f>
        <v>0</v>
      </c>
      <c r="Y131" s="533">
        <f>Y130*1.2</f>
        <v>0</v>
      </c>
      <c r="Z131" s="768">
        <f>Z130*1.22</f>
        <v>0</v>
      </c>
      <c r="AA131" s="769">
        <f>AA130</f>
        <v>0</v>
      </c>
      <c r="AB131" s="770">
        <f>AB130*1.22</f>
        <v>0</v>
      </c>
      <c r="AC131" s="768">
        <f>AC130*1.22</f>
        <v>0</v>
      </c>
      <c r="AD131" s="769">
        <f>AD130</f>
        <v>0</v>
      </c>
      <c r="AE131" s="770">
        <f>AE130*1.22</f>
        <v>0</v>
      </c>
    </row>
    <row r="132" spans="20:31" x14ac:dyDescent="0.35">
      <c r="W132" s="527"/>
      <c r="X132" s="527"/>
      <c r="Y132" s="527"/>
      <c r="Z132" s="771"/>
      <c r="AA132" s="771"/>
      <c r="AB132" s="771"/>
      <c r="AC132" s="771"/>
      <c r="AD132" s="771"/>
      <c r="AE132" s="771"/>
    </row>
    <row r="133" spans="20:31" x14ac:dyDescent="0.35">
      <c r="W133" s="527"/>
      <c r="X133" s="527"/>
      <c r="Y133" s="527"/>
      <c r="Z133" s="771"/>
      <c r="AA133" s="771"/>
      <c r="AB133" s="774"/>
      <c r="AC133" s="771"/>
      <c r="AD133" s="771"/>
      <c r="AE133" s="771"/>
    </row>
    <row r="134" spans="20:31" x14ac:dyDescent="0.35">
      <c r="W134" s="527"/>
      <c r="X134" s="527"/>
      <c r="Y134" s="527"/>
      <c r="Z134" s="771"/>
      <c r="AA134" s="771"/>
      <c r="AB134" s="771"/>
      <c r="AC134" s="771"/>
      <c r="AD134" s="771"/>
      <c r="AE134" s="771"/>
    </row>
    <row r="135" spans="20:31" ht="15" thickBot="1" x14ac:dyDescent="0.4">
      <c r="T135" s="242" t="s">
        <v>288</v>
      </c>
      <c r="W135" s="527"/>
      <c r="X135" s="527"/>
      <c r="Y135" s="527"/>
      <c r="Z135" s="771"/>
      <c r="AA135" s="771"/>
      <c r="AB135" s="771"/>
      <c r="AC135" s="771"/>
      <c r="AD135" s="771"/>
      <c r="AE135" s="771"/>
    </row>
    <row r="136" spans="20:31" x14ac:dyDescent="0.35">
      <c r="T136" s="1" t="s">
        <v>7</v>
      </c>
      <c r="W136" s="528">
        <f t="shared" ref="W136:AE136" si="108">SUMIFS(W$35:W$43, $G$35:$G$43, $G$77, $O$35:$O$43, "Baaseelarve")+SUMIFS(W$35:W$43, $G$35:$G$43, $G$77, $O$35:$O$43, "Muu rahastus")+SUMIFS(W$35:W$43, $G$35:$G$43, $G$77, $O$35:$O$43, "Reserv (SR)")+SUMIFS(W$35:W$43, $G$35:$G$43, $G$77, $O$35:$O$43, "RRF")+SUMIFS(W$35:W$43, $G$35:$G$43, $G$77, $O$35:$O$43, "SF 14-20 (töös olev projekt)")</f>
        <v>0</v>
      </c>
      <c r="X136" s="529">
        <f t="shared" si="108"/>
        <v>0</v>
      </c>
      <c r="Y136" s="530">
        <f t="shared" si="108"/>
        <v>0</v>
      </c>
      <c r="Z136" s="764">
        <f t="shared" si="108"/>
        <v>0</v>
      </c>
      <c r="AA136" s="772">
        <f t="shared" si="108"/>
        <v>0</v>
      </c>
      <c r="AB136" s="773">
        <f t="shared" si="108"/>
        <v>0</v>
      </c>
      <c r="AC136" s="764">
        <f t="shared" si="108"/>
        <v>0</v>
      </c>
      <c r="AD136" s="772">
        <f t="shared" si="108"/>
        <v>0</v>
      </c>
      <c r="AE136" s="773">
        <f t="shared" si="108"/>
        <v>0</v>
      </c>
    </row>
    <row r="137" spans="20:31" ht="15" thickBot="1" x14ac:dyDescent="0.4">
      <c r="T137" s="246" t="s">
        <v>277</v>
      </c>
      <c r="W137" s="531">
        <f>W136*1.2</f>
        <v>0</v>
      </c>
      <c r="X137" s="532">
        <f>X136</f>
        <v>0</v>
      </c>
      <c r="Y137" s="533">
        <f>Y136*1.2</f>
        <v>0</v>
      </c>
      <c r="Z137" s="768">
        <f>Z136*1.22</f>
        <v>0</v>
      </c>
      <c r="AA137" s="769">
        <f>AA136</f>
        <v>0</v>
      </c>
      <c r="AB137" s="770">
        <f>AB136*1.22</f>
        <v>0</v>
      </c>
      <c r="AC137" s="768">
        <f>AC136*1.22</f>
        <v>0</v>
      </c>
      <c r="AD137" s="769">
        <f>AD136</f>
        <v>0</v>
      </c>
      <c r="AE137" s="770">
        <f>AE136*1.22</f>
        <v>0</v>
      </c>
    </row>
    <row r="138" spans="20:31" ht="15" thickBot="1" x14ac:dyDescent="0.4">
      <c r="W138" s="534"/>
      <c r="X138" s="534"/>
      <c r="Y138" s="534"/>
      <c r="Z138" s="775"/>
      <c r="AA138" s="775"/>
      <c r="AB138" s="775"/>
      <c r="AC138" s="775"/>
      <c r="AD138" s="775"/>
      <c r="AE138" s="775"/>
    </row>
    <row r="139" spans="20:31" x14ac:dyDescent="0.35">
      <c r="T139" s="1" t="s">
        <v>8</v>
      </c>
      <c r="W139" s="528">
        <f t="shared" ref="W139:AE139" si="109">SUMIFS(W$35:W$43, $G$35:$G$43, $G$78, $O$35:$O$43, "Baaseelarve")+SUMIFS(W$35:W$43, $G$35:$G$43, $G$78, $O$35:$O$43, "Muu rahastus")+SUMIFS(W$35:W$43, $G$35:$G$43, $G$78, $O$35:$O$43, "Reserv (SR)")+SUMIFS(W$35:W$43, $G$35:$G$43, $G$78, $O$35:$O$43, "RRF")+SUMIFS(W$35:W$43, $G$35:$G$43, $G$78, $O$35:$O$43, "SF 14-20 (töös olev projekt)")</f>
        <v>0</v>
      </c>
      <c r="X139" s="529">
        <f t="shared" si="109"/>
        <v>0</v>
      </c>
      <c r="Y139" s="530">
        <f t="shared" si="109"/>
        <v>0</v>
      </c>
      <c r="Z139" s="764">
        <f t="shared" si="109"/>
        <v>0</v>
      </c>
      <c r="AA139" s="772">
        <f t="shared" si="109"/>
        <v>0</v>
      </c>
      <c r="AB139" s="773">
        <f t="shared" si="109"/>
        <v>0</v>
      </c>
      <c r="AC139" s="764">
        <f t="shared" si="109"/>
        <v>0</v>
      </c>
      <c r="AD139" s="772">
        <f t="shared" si="109"/>
        <v>0</v>
      </c>
      <c r="AE139" s="773">
        <f t="shared" si="109"/>
        <v>0</v>
      </c>
    </row>
    <row r="140" spans="20:31" ht="15" thickBot="1" x14ac:dyDescent="0.4">
      <c r="T140" s="246" t="s">
        <v>277</v>
      </c>
      <c r="W140" s="531">
        <f>W139*1.2</f>
        <v>0</v>
      </c>
      <c r="X140" s="532">
        <f>X139</f>
        <v>0</v>
      </c>
      <c r="Y140" s="533">
        <f>Y139*1.2</f>
        <v>0</v>
      </c>
      <c r="Z140" s="768">
        <f>Z139*1.22</f>
        <v>0</v>
      </c>
      <c r="AA140" s="769">
        <f>AA139</f>
        <v>0</v>
      </c>
      <c r="AB140" s="770">
        <f>AB139*1.22</f>
        <v>0</v>
      </c>
      <c r="AC140" s="768">
        <f>AC139*1.22</f>
        <v>0</v>
      </c>
      <c r="AD140" s="769">
        <f>AD139</f>
        <v>0</v>
      </c>
      <c r="AE140" s="770">
        <f>AE139*1.22</f>
        <v>0</v>
      </c>
    </row>
    <row r="141" spans="20:31" ht="15" thickBot="1" x14ac:dyDescent="0.4">
      <c r="W141" s="534"/>
      <c r="X141" s="534"/>
      <c r="Y141" s="534"/>
      <c r="Z141" s="775"/>
      <c r="AA141" s="775"/>
      <c r="AB141" s="775"/>
      <c r="AC141" s="775"/>
      <c r="AD141" s="775"/>
      <c r="AE141" s="775"/>
    </row>
    <row r="142" spans="20:31" x14ac:dyDescent="0.35">
      <c r="T142" s="1" t="s">
        <v>281</v>
      </c>
      <c r="W142" s="528">
        <f t="shared" ref="W142:AE142" si="110">SUMIFS(W$35:W$43, $G$35:$G$43, $G$79, $O$35:$O$43, "Baaseelarve")+SUMIFS(W$35:W$43, $G$35:$G$43, $G$79, $O$35:$O$43, "Muu rahastus")+SUMIFS(W$35:W$43, $G$35:$G$43, $G$79, $O$35:$O$43, "Reserv (SR)")+SUMIFS(W$35:W$43, $G$35:$G$43, $G$79, $O$35:$O$43, "RRF")+SUMIFS(W$35:W$43, $G$35:$G$43, $G$79, $O$35:$O$43, "SF 14-20 (töös olev projekt)")</f>
        <v>0</v>
      </c>
      <c r="X142" s="529">
        <f t="shared" si="110"/>
        <v>0</v>
      </c>
      <c r="Y142" s="530">
        <f t="shared" si="110"/>
        <v>0</v>
      </c>
      <c r="Z142" s="764">
        <f t="shared" si="110"/>
        <v>0</v>
      </c>
      <c r="AA142" s="772">
        <f t="shared" si="110"/>
        <v>0</v>
      </c>
      <c r="AB142" s="773">
        <f t="shared" si="110"/>
        <v>0</v>
      </c>
      <c r="AC142" s="764">
        <f t="shared" si="110"/>
        <v>0</v>
      </c>
      <c r="AD142" s="772">
        <f t="shared" si="110"/>
        <v>0</v>
      </c>
      <c r="AE142" s="773">
        <f t="shared" si="110"/>
        <v>0</v>
      </c>
    </row>
    <row r="143" spans="20:31" ht="15" thickBot="1" x14ac:dyDescent="0.4">
      <c r="T143" s="246" t="s">
        <v>277</v>
      </c>
      <c r="W143" s="531">
        <f>W142*1.2</f>
        <v>0</v>
      </c>
      <c r="X143" s="532">
        <f>X142</f>
        <v>0</v>
      </c>
      <c r="Y143" s="533">
        <f>Y142*1.2</f>
        <v>0</v>
      </c>
      <c r="Z143" s="768">
        <f>Z142*1.22</f>
        <v>0</v>
      </c>
      <c r="AA143" s="769">
        <f>AA142</f>
        <v>0</v>
      </c>
      <c r="AB143" s="770">
        <f>AB142*1.22</f>
        <v>0</v>
      </c>
      <c r="AC143" s="768">
        <f>AC142*1.22</f>
        <v>0</v>
      </c>
      <c r="AD143" s="769">
        <f>AD142</f>
        <v>0</v>
      </c>
      <c r="AE143" s="770">
        <f>AE142*1.22</f>
        <v>0</v>
      </c>
    </row>
    <row r="144" spans="20:31" ht="15" thickBot="1" x14ac:dyDescent="0.4">
      <c r="W144" s="534"/>
      <c r="X144" s="534"/>
      <c r="Y144" s="534"/>
      <c r="Z144" s="775"/>
      <c r="AA144" s="775"/>
      <c r="AB144" s="775"/>
      <c r="AC144" s="775"/>
      <c r="AD144" s="775"/>
      <c r="AE144" s="775"/>
    </row>
    <row r="145" spans="20:31" x14ac:dyDescent="0.35">
      <c r="T145" s="1" t="s">
        <v>10</v>
      </c>
      <c r="W145" s="528">
        <f t="shared" ref="W145:AE145" si="111">SUMIFS(W$35:W$43, $G$35:$G$43, $G$80, $O$35:$O$43, "Baaseelarve")+SUMIFS(W$35:W$43, $G$35:$G$43, $G$80, $O$35:$O$43, "Muu rahastus")+SUMIFS(W$35:W$43, $G$35:$G$43, $G$80, $O$35:$O$43, "Reserv (SR)")+SUMIFS(W$35:W$43, $G$35:$G$43, $G$80, $O$35:$O$43, "RRF")+SUMIFS(W$35:W$43, $G$35:$G$43, $G$80, $O$35:$O$43, "SF 14-20 (töös olev projekt)")</f>
        <v>1540000</v>
      </c>
      <c r="X145" s="528">
        <f t="shared" si="111"/>
        <v>412350</v>
      </c>
      <c r="Y145" s="545">
        <f t="shared" si="111"/>
        <v>63517</v>
      </c>
      <c r="Z145" s="764">
        <f t="shared" si="111"/>
        <v>5806423</v>
      </c>
      <c r="AA145" s="764">
        <f t="shared" si="111"/>
        <v>559555.5</v>
      </c>
      <c r="AB145" s="776">
        <f t="shared" si="111"/>
        <v>90901</v>
      </c>
      <c r="AC145" s="764">
        <f t="shared" si="111"/>
        <v>2223418</v>
      </c>
      <c r="AD145" s="764">
        <f t="shared" si="111"/>
        <v>569649.5</v>
      </c>
      <c r="AE145" s="776">
        <f t="shared" si="111"/>
        <v>92415</v>
      </c>
    </row>
    <row r="146" spans="20:31" ht="15" thickBot="1" x14ac:dyDescent="0.4">
      <c r="T146" s="246" t="s">
        <v>277</v>
      </c>
      <c r="W146" s="531">
        <f>W145*1.2</f>
        <v>1848000</v>
      </c>
      <c r="X146" s="532">
        <f>X145</f>
        <v>412350</v>
      </c>
      <c r="Y146" s="533">
        <f>Y145*1.2</f>
        <v>76220.399999999994</v>
      </c>
      <c r="Z146" s="768">
        <f>Z145*1.22</f>
        <v>7083836.0599999996</v>
      </c>
      <c r="AA146" s="769">
        <f>AA145</f>
        <v>559555.5</v>
      </c>
      <c r="AB146" s="770">
        <f>AB145*1.22</f>
        <v>110899.22</v>
      </c>
      <c r="AC146" s="768">
        <f>AC145*1.22</f>
        <v>2712569.96</v>
      </c>
      <c r="AD146" s="769">
        <f>AD145</f>
        <v>569649.5</v>
      </c>
      <c r="AE146" s="770">
        <f>AE145*1.22</f>
        <v>112746.3</v>
      </c>
    </row>
    <row r="147" spans="20:31" x14ac:dyDescent="0.35">
      <c r="W147" s="534"/>
      <c r="X147" s="534"/>
      <c r="Y147" s="534"/>
      <c r="Z147" s="775"/>
      <c r="AA147" s="775"/>
      <c r="AB147" s="775"/>
      <c r="AC147" s="775"/>
      <c r="AD147" s="775"/>
      <c r="AE147" s="775"/>
    </row>
    <row r="148" spans="20:31" x14ac:dyDescent="0.35">
      <c r="W148" s="534"/>
      <c r="X148" s="534"/>
      <c r="Y148" s="534"/>
      <c r="Z148" s="775"/>
      <c r="AA148" s="775"/>
      <c r="AB148" s="775"/>
      <c r="AC148" s="775"/>
      <c r="AD148" s="775"/>
      <c r="AE148" s="775"/>
    </row>
    <row r="149" spans="20:31" x14ac:dyDescent="0.35">
      <c r="W149" s="534"/>
      <c r="X149" s="534"/>
      <c r="Y149" s="534"/>
      <c r="Z149" s="775"/>
      <c r="AA149" s="775"/>
      <c r="AB149" s="775"/>
      <c r="AC149" s="775"/>
      <c r="AD149" s="775"/>
      <c r="AE149" s="775"/>
    </row>
    <row r="150" spans="20:31" ht="15" thickBot="1" x14ac:dyDescent="0.4">
      <c r="T150" s="242" t="s">
        <v>254</v>
      </c>
      <c r="W150" s="527"/>
      <c r="X150" s="527"/>
      <c r="Y150" s="527"/>
      <c r="Z150" s="771"/>
      <c r="AA150" s="771"/>
      <c r="AB150" s="771"/>
      <c r="AC150" s="771"/>
      <c r="AD150" s="771"/>
      <c r="AE150" s="771"/>
    </row>
    <row r="151" spans="20:31" x14ac:dyDescent="0.35">
      <c r="T151" s="1" t="s">
        <v>7</v>
      </c>
      <c r="W151" s="528">
        <f t="shared" ref="W151:AE151" si="112">SUMIFS(W$35:W$43,$G$35:$G$43,$G$77,$O$35:$O$43,$O$79)</f>
        <v>0</v>
      </c>
      <c r="X151" s="529">
        <f t="shared" si="112"/>
        <v>0</v>
      </c>
      <c r="Y151" s="530">
        <f t="shared" si="112"/>
        <v>0</v>
      </c>
      <c r="Z151" s="764">
        <f t="shared" si="112"/>
        <v>0</v>
      </c>
      <c r="AA151" s="772">
        <f t="shared" si="112"/>
        <v>0</v>
      </c>
      <c r="AB151" s="773">
        <f t="shared" si="112"/>
        <v>0</v>
      </c>
      <c r="AC151" s="764">
        <f t="shared" si="112"/>
        <v>0</v>
      </c>
      <c r="AD151" s="772">
        <f t="shared" si="112"/>
        <v>0</v>
      </c>
      <c r="AE151" s="773">
        <f t="shared" si="112"/>
        <v>0</v>
      </c>
    </row>
    <row r="152" spans="20:31" ht="15" thickBot="1" x14ac:dyDescent="0.4">
      <c r="T152" s="246" t="s">
        <v>277</v>
      </c>
      <c r="W152" s="531">
        <f>W151*1.2</f>
        <v>0</v>
      </c>
      <c r="X152" s="532">
        <f>X151</f>
        <v>0</v>
      </c>
      <c r="Y152" s="533">
        <f>Y151*1.2</f>
        <v>0</v>
      </c>
      <c r="Z152" s="768">
        <f>Z151*1.22</f>
        <v>0</v>
      </c>
      <c r="AA152" s="769">
        <f>AA151</f>
        <v>0</v>
      </c>
      <c r="AB152" s="770">
        <f>AB151*1.22</f>
        <v>0</v>
      </c>
      <c r="AC152" s="768">
        <f>AC151*1.22</f>
        <v>0</v>
      </c>
      <c r="AD152" s="769">
        <f>AD151</f>
        <v>0</v>
      </c>
      <c r="AE152" s="770">
        <f>AE151*1.22</f>
        <v>0</v>
      </c>
    </row>
    <row r="153" spans="20:31" ht="15" thickBot="1" x14ac:dyDescent="0.4">
      <c r="W153" s="534"/>
      <c r="X153" s="534"/>
      <c r="Y153" s="534"/>
      <c r="Z153" s="775"/>
      <c r="AA153" s="775"/>
      <c r="AB153" s="775"/>
      <c r="AC153" s="775"/>
      <c r="AD153" s="775"/>
      <c r="AE153" s="775"/>
    </row>
    <row r="154" spans="20:31" x14ac:dyDescent="0.35">
      <c r="T154" s="1" t="s">
        <v>8</v>
      </c>
      <c r="W154" s="528">
        <f t="shared" ref="W154:AE154" si="113">SUMIFS(W$35:W$43,$G$35:$G$43,$G$78,$O$35:$O$43,$O$79)</f>
        <v>0</v>
      </c>
      <c r="X154" s="529">
        <f t="shared" si="113"/>
        <v>0</v>
      </c>
      <c r="Y154" s="535">
        <f t="shared" si="113"/>
        <v>0</v>
      </c>
      <c r="Z154" s="764">
        <f t="shared" si="113"/>
        <v>0</v>
      </c>
      <c r="AA154" s="772">
        <f t="shared" si="113"/>
        <v>0</v>
      </c>
      <c r="AB154" s="773">
        <f t="shared" si="113"/>
        <v>0</v>
      </c>
      <c r="AC154" s="777">
        <f t="shared" si="113"/>
        <v>0</v>
      </c>
      <c r="AD154" s="772">
        <f t="shared" si="113"/>
        <v>0</v>
      </c>
      <c r="AE154" s="773">
        <f t="shared" si="113"/>
        <v>0</v>
      </c>
    </row>
    <row r="155" spans="20:31" ht="15" thickBot="1" x14ac:dyDescent="0.4">
      <c r="T155" s="246" t="s">
        <v>277</v>
      </c>
      <c r="W155" s="531">
        <f>W154*1.2</f>
        <v>0</v>
      </c>
      <c r="X155" s="532">
        <f>X154</f>
        <v>0</v>
      </c>
      <c r="Y155" s="536">
        <f>Y154*1.2</f>
        <v>0</v>
      </c>
      <c r="Z155" s="768">
        <f>Z154*1.22</f>
        <v>0</v>
      </c>
      <c r="AA155" s="769">
        <f>AA154</f>
        <v>0</v>
      </c>
      <c r="AB155" s="770">
        <f>AB154*1.22</f>
        <v>0</v>
      </c>
      <c r="AC155" s="778">
        <f>AC154*1.22</f>
        <v>0</v>
      </c>
      <c r="AD155" s="769">
        <f>AD154</f>
        <v>0</v>
      </c>
      <c r="AE155" s="770">
        <f>AE154*1.22</f>
        <v>0</v>
      </c>
    </row>
    <row r="156" spans="20:31" ht="15" thickBot="1" x14ac:dyDescent="0.4">
      <c r="W156" s="534"/>
      <c r="X156" s="534"/>
      <c r="Y156" s="534"/>
      <c r="Z156" s="775"/>
      <c r="AA156" s="775"/>
      <c r="AB156" s="775"/>
      <c r="AC156" s="775"/>
      <c r="AD156" s="775"/>
      <c r="AE156" s="775"/>
    </row>
    <row r="157" spans="20:31" x14ac:dyDescent="0.35">
      <c r="T157" s="1" t="s">
        <v>281</v>
      </c>
      <c r="W157" s="528">
        <f t="shared" ref="W157:AE157" si="114">SUMIFS(W$35:W$43,$G$35:$G$43,$G$79,$O$35:$O$43,$O$79)</f>
        <v>0</v>
      </c>
      <c r="X157" s="529">
        <f t="shared" si="114"/>
        <v>0</v>
      </c>
      <c r="Y157" s="535">
        <f t="shared" si="114"/>
        <v>0</v>
      </c>
      <c r="Z157" s="764">
        <f t="shared" si="114"/>
        <v>0</v>
      </c>
      <c r="AA157" s="772">
        <f t="shared" si="114"/>
        <v>0</v>
      </c>
      <c r="AB157" s="773">
        <f t="shared" si="114"/>
        <v>0</v>
      </c>
      <c r="AC157" s="777">
        <f t="shared" si="114"/>
        <v>0</v>
      </c>
      <c r="AD157" s="772">
        <f t="shared" si="114"/>
        <v>0</v>
      </c>
      <c r="AE157" s="773">
        <f t="shared" si="114"/>
        <v>0</v>
      </c>
    </row>
    <row r="158" spans="20:31" ht="15" thickBot="1" x14ac:dyDescent="0.4">
      <c r="T158" s="246" t="s">
        <v>277</v>
      </c>
      <c r="W158" s="531">
        <f>W157*1.2</f>
        <v>0</v>
      </c>
      <c r="X158" s="532">
        <f>X157</f>
        <v>0</v>
      </c>
      <c r="Y158" s="536">
        <f>Y157*1.2</f>
        <v>0</v>
      </c>
      <c r="Z158" s="768">
        <f>Z157*1.22</f>
        <v>0</v>
      </c>
      <c r="AA158" s="769">
        <f>AA157</f>
        <v>0</v>
      </c>
      <c r="AB158" s="770">
        <f>AB157*1.22</f>
        <v>0</v>
      </c>
      <c r="AC158" s="778">
        <f>AC157*1.22</f>
        <v>0</v>
      </c>
      <c r="AD158" s="769">
        <f>AD157</f>
        <v>0</v>
      </c>
      <c r="AE158" s="770">
        <f>AE157*1.22</f>
        <v>0</v>
      </c>
    </row>
    <row r="159" spans="20:31" ht="15" thickBot="1" x14ac:dyDescent="0.4">
      <c r="W159" s="534"/>
      <c r="X159" s="534"/>
      <c r="Y159" s="534"/>
      <c r="Z159" s="775"/>
      <c r="AA159" s="775"/>
      <c r="AB159" s="775"/>
      <c r="AC159" s="775"/>
      <c r="AD159" s="775"/>
      <c r="AE159" s="775"/>
    </row>
    <row r="160" spans="20:31" x14ac:dyDescent="0.35">
      <c r="T160" s="1" t="s">
        <v>10</v>
      </c>
      <c r="W160" s="528">
        <f t="shared" ref="W160:AE160" si="115">SUMIFS(W$35:W$43,$G$35:$G$43,$G$80,$O$35:$O$43,$O$79)</f>
        <v>0</v>
      </c>
      <c r="X160" s="529">
        <f t="shared" si="115"/>
        <v>0</v>
      </c>
      <c r="Y160" s="535">
        <f t="shared" si="115"/>
        <v>0</v>
      </c>
      <c r="Z160" s="764">
        <f t="shared" si="115"/>
        <v>0</v>
      </c>
      <c r="AA160" s="772">
        <f t="shared" si="115"/>
        <v>0</v>
      </c>
      <c r="AB160" s="773">
        <f t="shared" si="115"/>
        <v>0</v>
      </c>
      <c r="AC160" s="777">
        <f t="shared" si="115"/>
        <v>0</v>
      </c>
      <c r="AD160" s="772">
        <f t="shared" si="115"/>
        <v>0</v>
      </c>
      <c r="AE160" s="773">
        <f t="shared" si="115"/>
        <v>0</v>
      </c>
    </row>
    <row r="161" spans="19:31" ht="15" thickBot="1" x14ac:dyDescent="0.4">
      <c r="T161" s="246" t="s">
        <v>277</v>
      </c>
      <c r="W161" s="531">
        <f>W160*1.2</f>
        <v>0</v>
      </c>
      <c r="X161" s="532">
        <f>X160</f>
        <v>0</v>
      </c>
      <c r="Y161" s="536">
        <f>Y160*1.2</f>
        <v>0</v>
      </c>
      <c r="Z161" s="768">
        <f>Z160*1.22</f>
        <v>0</v>
      </c>
      <c r="AA161" s="769">
        <f>AA160</f>
        <v>0</v>
      </c>
      <c r="AB161" s="770">
        <f>AB160*1.22</f>
        <v>0</v>
      </c>
      <c r="AC161" s="778">
        <f>AC160*1.22</f>
        <v>0</v>
      </c>
      <c r="AD161" s="769">
        <f>AD160</f>
        <v>0</v>
      </c>
      <c r="AE161" s="770">
        <f>AE160*1.22</f>
        <v>0</v>
      </c>
    </row>
    <row r="164" spans="19:31" ht="15" thickBot="1" x14ac:dyDescent="0.4">
      <c r="S164" s="34" t="s">
        <v>293</v>
      </c>
      <c r="T164" s="242" t="s">
        <v>104</v>
      </c>
    </row>
    <row r="165" spans="19:31" x14ac:dyDescent="0.35">
      <c r="T165" s="1" t="s">
        <v>7</v>
      </c>
      <c r="W165" s="537">
        <f>SUMIFS($W$45:$W$73,$G$45:$G$73,$G$77,$O$45:$O$73,"SF 21-27 (taotletav raha)")</f>
        <v>0</v>
      </c>
      <c r="X165" s="538">
        <f>SUMIFS($X$45:$X$73,$G$45:$G$73,$G$77,$O$45:$O$73,"SF 21-27 (taotletav raha)")</f>
        <v>0</v>
      </c>
      <c r="Y165" s="543">
        <f>SUMIFS($Y$45:$Y$73,$G$45:$G$73,$G$77,$O$45:$O$73,"SF 21-27 (taotletav raha)")</f>
        <v>0</v>
      </c>
      <c r="Z165" s="779">
        <f>SUMIFS($Z$45:$Z$73,$G$45:$G$73,$G$77,$O$45:$O$73,"SF 21-27 (taotletav raha)")</f>
        <v>2480980</v>
      </c>
      <c r="AA165" s="780">
        <f>SUMIFS($AA$45:$AA$73,$G$45:$G$73,$G$77,$O$45:$O$73,"SF 21-27 (taotletav raha)")</f>
        <v>554989</v>
      </c>
      <c r="AB165" s="781">
        <f>SUMIFS($AB$45:$AB$73,$G$45:$G$73,$G$77,$O$45:$O$73,"SF 21-27 (taotletav raha)")</f>
        <v>0</v>
      </c>
      <c r="AC165" s="782">
        <f>SUMIFS($AC$45:$AC$73,$G$45:$G$73,$G$77,$O$45:$O$73,"SF 21-27 (taotletav raha)")</f>
        <v>3097301</v>
      </c>
      <c r="AD165" s="780">
        <f>SUMIFS($AD$45:$AD$73,$G$45:$G$73,$G$77,$O$45:$O$73,"SF 21-27 (taotletav raha)")</f>
        <v>878056</v>
      </c>
      <c r="AE165" s="781">
        <f>SUMIFS($AE$45:$AE$73,$G$45:$G$73,$G$77,$O$45:$O$73,"SF 21-27 (taotletav raha)")</f>
        <v>0</v>
      </c>
    </row>
    <row r="166" spans="19:31" ht="15" thickBot="1" x14ac:dyDescent="0.4">
      <c r="T166" s="246" t="s">
        <v>277</v>
      </c>
      <c r="W166" s="539">
        <f>W165*1.2</f>
        <v>0</v>
      </c>
      <c r="X166" s="540">
        <f>X165</f>
        <v>0</v>
      </c>
      <c r="Y166" s="544">
        <f>Y165*1.2</f>
        <v>0</v>
      </c>
      <c r="Z166" s="783">
        <f>Z165*1.22</f>
        <v>3026795.6</v>
      </c>
      <c r="AA166" s="784">
        <f>AA165</f>
        <v>554989</v>
      </c>
      <c r="AB166" s="785">
        <f>AB165*1.22</f>
        <v>0</v>
      </c>
      <c r="AC166" s="786">
        <f>AC165*1.22</f>
        <v>3778707.2199999997</v>
      </c>
      <c r="AD166" s="784">
        <f>AD165</f>
        <v>878056</v>
      </c>
      <c r="AE166" s="785">
        <f>AE165*1.22</f>
        <v>0</v>
      </c>
    </row>
    <row r="167" spans="19:31" ht="15" thickBot="1" x14ac:dyDescent="0.4">
      <c r="W167" s="541"/>
      <c r="X167" s="541"/>
      <c r="Y167" s="541"/>
      <c r="Z167" s="787"/>
      <c r="AA167" s="787"/>
      <c r="AB167" s="787"/>
      <c r="AC167" s="787"/>
      <c r="AD167" s="787"/>
      <c r="AE167" s="787"/>
    </row>
    <row r="168" spans="19:31" x14ac:dyDescent="0.35">
      <c r="T168" s="1" t="s">
        <v>8</v>
      </c>
      <c r="W168" s="537">
        <f t="shared" ref="W168:AE168" si="116">SUMIFS(W$45:W$73,$G$45:$G$73,$G$78,$O$45:$O$73,"SF 21-27 (taotletav raha)")</f>
        <v>0</v>
      </c>
      <c r="X168" s="538">
        <f t="shared" si="116"/>
        <v>0</v>
      </c>
      <c r="Y168" s="543">
        <f t="shared" si="116"/>
        <v>0</v>
      </c>
      <c r="Z168" s="779">
        <f t="shared" si="116"/>
        <v>0</v>
      </c>
      <c r="AA168" s="780">
        <f t="shared" si="116"/>
        <v>0</v>
      </c>
      <c r="AB168" s="781">
        <f t="shared" si="116"/>
        <v>0</v>
      </c>
      <c r="AC168" s="782">
        <f t="shared" si="116"/>
        <v>0</v>
      </c>
      <c r="AD168" s="780">
        <f t="shared" si="116"/>
        <v>0</v>
      </c>
      <c r="AE168" s="781">
        <f t="shared" si="116"/>
        <v>0</v>
      </c>
    </row>
    <row r="169" spans="19:31" ht="15" thickBot="1" x14ac:dyDescent="0.4">
      <c r="T169" s="246" t="s">
        <v>277</v>
      </c>
      <c r="W169" s="539">
        <f>W168*1.2</f>
        <v>0</v>
      </c>
      <c r="X169" s="540">
        <f>X168</f>
        <v>0</v>
      </c>
      <c r="Y169" s="544">
        <f>Y168*1.2</f>
        <v>0</v>
      </c>
      <c r="Z169" s="783">
        <f>Z168*1.22</f>
        <v>0</v>
      </c>
      <c r="AA169" s="784">
        <f>AA168</f>
        <v>0</v>
      </c>
      <c r="AB169" s="785">
        <f>AB168*1.22</f>
        <v>0</v>
      </c>
      <c r="AC169" s="786">
        <f>AC168*1.22</f>
        <v>0</v>
      </c>
      <c r="AD169" s="784">
        <f>AD168</f>
        <v>0</v>
      </c>
      <c r="AE169" s="785">
        <f>AE168*1.22</f>
        <v>0</v>
      </c>
    </row>
    <row r="170" spans="19:31" ht="15" thickBot="1" x14ac:dyDescent="0.4">
      <c r="W170" s="541"/>
      <c r="X170" s="541"/>
      <c r="Y170" s="541"/>
      <c r="Z170" s="787"/>
      <c r="AA170" s="787"/>
      <c r="AB170" s="787"/>
      <c r="AC170" s="787"/>
      <c r="AD170" s="787"/>
      <c r="AE170" s="787"/>
    </row>
    <row r="171" spans="19:31" x14ac:dyDescent="0.35">
      <c r="T171" s="1" t="s">
        <v>281</v>
      </c>
      <c r="W171" s="537">
        <f t="shared" ref="W171:AE171" si="117">SUMIFS(W$45:W$73,$G$45:$G$73,$G$79,$O$45:$O$73,"SF 21-27 (taotletav raha)")</f>
        <v>0</v>
      </c>
      <c r="X171" s="538">
        <f t="shared" si="117"/>
        <v>9323</v>
      </c>
      <c r="Y171" s="543">
        <f t="shared" si="117"/>
        <v>0</v>
      </c>
      <c r="Z171" s="779">
        <f t="shared" si="117"/>
        <v>0</v>
      </c>
      <c r="AA171" s="780">
        <f t="shared" si="117"/>
        <v>39426</v>
      </c>
      <c r="AB171" s="781">
        <f t="shared" si="117"/>
        <v>90000</v>
      </c>
      <c r="AC171" s="782">
        <f t="shared" si="117"/>
        <v>0</v>
      </c>
      <c r="AD171" s="780">
        <f t="shared" si="117"/>
        <v>41397.300000000003</v>
      </c>
      <c r="AE171" s="781">
        <f t="shared" si="117"/>
        <v>50000</v>
      </c>
    </row>
    <row r="172" spans="19:31" ht="15" thickBot="1" x14ac:dyDescent="0.4">
      <c r="T172" s="246" t="s">
        <v>277</v>
      </c>
      <c r="W172" s="539">
        <f>W171*1.2</f>
        <v>0</v>
      </c>
      <c r="X172" s="540">
        <f>X171</f>
        <v>9323</v>
      </c>
      <c r="Y172" s="544">
        <f>Y171*1.2</f>
        <v>0</v>
      </c>
      <c r="Z172" s="783">
        <f>Z171*1.22</f>
        <v>0</v>
      </c>
      <c r="AA172" s="784">
        <f>AA171</f>
        <v>39426</v>
      </c>
      <c r="AB172" s="785">
        <f>AB171*1.22</f>
        <v>109800</v>
      </c>
      <c r="AC172" s="786">
        <f>AC171*1.22</f>
        <v>0</v>
      </c>
      <c r="AD172" s="784">
        <f>AD171</f>
        <v>41397.300000000003</v>
      </c>
      <c r="AE172" s="785">
        <f>AE171*1.22</f>
        <v>61000</v>
      </c>
    </row>
    <row r="173" spans="19:31" ht="15" thickBot="1" x14ac:dyDescent="0.4">
      <c r="W173" s="541"/>
      <c r="X173" s="541"/>
      <c r="Y173" s="541"/>
      <c r="Z173" s="787"/>
      <c r="AA173" s="787"/>
      <c r="AB173" s="787"/>
      <c r="AC173" s="787"/>
      <c r="AD173" s="787"/>
      <c r="AE173" s="787"/>
    </row>
    <row r="174" spans="19:31" x14ac:dyDescent="0.35">
      <c r="T174" s="1" t="s">
        <v>10</v>
      </c>
      <c r="W174" s="537">
        <f t="shared" ref="W174:AE174" si="118">SUMIFS(W$45:W$73,$G$45:$G$73,$G$80,$O$45:$O$73,"SF 21-27 (taotletav raha)")</f>
        <v>0</v>
      </c>
      <c r="X174" s="538">
        <f t="shared" si="118"/>
        <v>0</v>
      </c>
      <c r="Y174" s="543">
        <f t="shared" si="118"/>
        <v>0</v>
      </c>
      <c r="Z174" s="779">
        <f t="shared" si="118"/>
        <v>0</v>
      </c>
      <c r="AA174" s="780">
        <f t="shared" si="118"/>
        <v>63936</v>
      </c>
      <c r="AB174" s="781">
        <f t="shared" si="118"/>
        <v>120000</v>
      </c>
      <c r="AC174" s="782">
        <f t="shared" si="118"/>
        <v>0</v>
      </c>
      <c r="AD174" s="780">
        <f t="shared" si="118"/>
        <v>123936.75</v>
      </c>
      <c r="AE174" s="781">
        <f t="shared" si="118"/>
        <v>90000</v>
      </c>
    </row>
    <row r="175" spans="19:31" ht="15" thickBot="1" x14ac:dyDescent="0.4">
      <c r="T175" s="246" t="s">
        <v>277</v>
      </c>
      <c r="W175" s="539">
        <f>W174*1.2</f>
        <v>0</v>
      </c>
      <c r="X175" s="540">
        <f>X174</f>
        <v>0</v>
      </c>
      <c r="Y175" s="544">
        <f>Y174*1.2</f>
        <v>0</v>
      </c>
      <c r="Z175" s="783">
        <f>Z174*1.22</f>
        <v>0</v>
      </c>
      <c r="AA175" s="784">
        <f>AA174</f>
        <v>63936</v>
      </c>
      <c r="AB175" s="785">
        <f>AB174*1.22</f>
        <v>146400</v>
      </c>
      <c r="AC175" s="786">
        <f>AC174*1.22</f>
        <v>0</v>
      </c>
      <c r="AD175" s="784">
        <f>AD174</f>
        <v>123936.75</v>
      </c>
      <c r="AE175" s="785">
        <f>AE174*1.22</f>
        <v>109800</v>
      </c>
    </row>
    <row r="176" spans="19:31" x14ac:dyDescent="0.35">
      <c r="W176" s="542"/>
      <c r="X176" s="542"/>
      <c r="Y176" s="542"/>
      <c r="Z176" s="787"/>
      <c r="AA176" s="787"/>
      <c r="AB176" s="787"/>
      <c r="AC176" s="787"/>
      <c r="AD176" s="787"/>
      <c r="AE176" s="787"/>
    </row>
    <row r="177" spans="20:31" x14ac:dyDescent="0.35">
      <c r="W177" s="542"/>
      <c r="X177" s="542"/>
      <c r="Y177" s="542"/>
      <c r="Z177" s="787"/>
      <c r="AA177" s="787"/>
      <c r="AB177" s="787"/>
      <c r="AC177" s="787"/>
      <c r="AD177" s="787"/>
      <c r="AE177" s="787"/>
    </row>
    <row r="178" spans="20:31" x14ac:dyDescent="0.35">
      <c r="W178" s="542"/>
      <c r="X178" s="542"/>
      <c r="Y178" s="542"/>
      <c r="Z178" s="787"/>
      <c r="AA178" s="787"/>
      <c r="AB178" s="787"/>
      <c r="AC178" s="787"/>
      <c r="AD178" s="787"/>
      <c r="AE178" s="787"/>
    </row>
    <row r="179" spans="20:31" ht="15" thickBot="1" x14ac:dyDescent="0.4">
      <c r="T179" s="242" t="s">
        <v>288</v>
      </c>
      <c r="W179" s="542"/>
      <c r="X179" s="542"/>
      <c r="Y179" s="542"/>
      <c r="Z179" s="787"/>
      <c r="AA179" s="787"/>
      <c r="AB179" s="787"/>
      <c r="AC179" s="787"/>
      <c r="AD179" s="787"/>
      <c r="AE179" s="787"/>
    </row>
    <row r="180" spans="20:31" x14ac:dyDescent="0.35">
      <c r="T180" s="1" t="s">
        <v>7</v>
      </c>
      <c r="W180" s="537">
        <f t="shared" ref="W180:AE180" si="119">SUMIFS(W$45:W$73, $G$45:$G$73, $G$77, $O$45:$O$73, "Baaseelarve")+SUMIFS(W$45:W$73, $G$45:$G$73, $G$77, $O$45:$O$73, "Muu rahastus")+SUMIFS(W$45:W$73, $G$45:$G$73, $G$77, $O$45:$O$73, "Reserv (SR)")+SUMIFS(W$45:W$73, $G$45:$G$73, $G$77, $O$45:$O$73, "RRF")+SUMIFS(W$45:W$73, $G$45:$G$73, $G$77, $O$45:$O$73, "SF 14-20 (töös olev projekt)")</f>
        <v>0</v>
      </c>
      <c r="X180" s="538">
        <f t="shared" si="119"/>
        <v>0</v>
      </c>
      <c r="Y180" s="543">
        <f t="shared" si="119"/>
        <v>0</v>
      </c>
      <c r="Z180" s="779">
        <f t="shared" si="119"/>
        <v>0</v>
      </c>
      <c r="AA180" s="788">
        <f t="shared" si="119"/>
        <v>0</v>
      </c>
      <c r="AB180" s="789">
        <f t="shared" si="119"/>
        <v>0</v>
      </c>
      <c r="AC180" s="790">
        <f t="shared" si="119"/>
        <v>0</v>
      </c>
      <c r="AD180" s="788">
        <f t="shared" si="119"/>
        <v>0</v>
      </c>
      <c r="AE180" s="789">
        <f t="shared" si="119"/>
        <v>0</v>
      </c>
    </row>
    <row r="181" spans="20:31" ht="15" thickBot="1" x14ac:dyDescent="0.4">
      <c r="T181" s="246" t="s">
        <v>277</v>
      </c>
      <c r="W181" s="539">
        <f>W180*1.2</f>
        <v>0</v>
      </c>
      <c r="X181" s="540">
        <f>X180</f>
        <v>0</v>
      </c>
      <c r="Y181" s="544">
        <f>Y180*1.2</f>
        <v>0</v>
      </c>
      <c r="Z181" s="783">
        <f>Z180*1.22</f>
        <v>0</v>
      </c>
      <c r="AA181" s="784">
        <f>AA180</f>
        <v>0</v>
      </c>
      <c r="AB181" s="785">
        <f>AB180*1.22</f>
        <v>0</v>
      </c>
      <c r="AC181" s="786">
        <f>AC180*1.22</f>
        <v>0</v>
      </c>
      <c r="AD181" s="784">
        <f>AD180</f>
        <v>0</v>
      </c>
      <c r="AE181" s="785">
        <f>AE180*1.22</f>
        <v>0</v>
      </c>
    </row>
    <row r="182" spans="20:31" ht="15" thickBot="1" x14ac:dyDescent="0.4">
      <c r="W182" s="541"/>
      <c r="X182" s="541"/>
      <c r="Y182" s="541"/>
      <c r="Z182" s="791"/>
      <c r="AA182" s="791"/>
      <c r="AB182" s="791"/>
      <c r="AC182" s="791"/>
      <c r="AD182" s="791"/>
      <c r="AE182" s="791"/>
    </row>
    <row r="183" spans="20:31" x14ac:dyDescent="0.35">
      <c r="T183" s="1" t="s">
        <v>8</v>
      </c>
      <c r="W183" s="537">
        <f t="shared" ref="W183:AE183" si="120">SUMIFS(W$45:W$73, $G$45:$G$73, $G$78, $O$45:$O$73, "Baaseelarve")+SUMIFS(W$45:W$73, $G$45:$G$73, $G$78, $O$45:$O$73, "Muu rahastus")+SUMIFS(W$45:W$73, $G$45:$G$73, $G$78, $O$45:$O$73, "Reserv (SR)")+SUMIFS(W$45:W$73, $G$45:$G$73, $G$78, $O$45:$O$73, "RRF")+SUMIFS(W$45:W$73, $G$45:$G$73, $G$78, $O$45:$O$73, "SF 14-20 (töös olev projekt)")</f>
        <v>0</v>
      </c>
      <c r="X183" s="538">
        <f t="shared" si="120"/>
        <v>0</v>
      </c>
      <c r="Y183" s="543">
        <f t="shared" si="120"/>
        <v>0</v>
      </c>
      <c r="Z183" s="779">
        <f t="shared" si="120"/>
        <v>0</v>
      </c>
      <c r="AA183" s="788">
        <f t="shared" si="120"/>
        <v>0</v>
      </c>
      <c r="AB183" s="789">
        <f t="shared" si="120"/>
        <v>0</v>
      </c>
      <c r="AC183" s="790">
        <f t="shared" si="120"/>
        <v>0</v>
      </c>
      <c r="AD183" s="788">
        <f t="shared" si="120"/>
        <v>0</v>
      </c>
      <c r="AE183" s="789">
        <f t="shared" si="120"/>
        <v>0</v>
      </c>
    </row>
    <row r="184" spans="20:31" ht="15" thickBot="1" x14ac:dyDescent="0.4">
      <c r="T184" s="246" t="s">
        <v>277</v>
      </c>
      <c r="W184" s="539">
        <f>W183*1.2</f>
        <v>0</v>
      </c>
      <c r="X184" s="540">
        <f>X183</f>
        <v>0</v>
      </c>
      <c r="Y184" s="544">
        <f>Y183*1.2</f>
        <v>0</v>
      </c>
      <c r="Z184" s="783">
        <f>Z183*1.22</f>
        <v>0</v>
      </c>
      <c r="AA184" s="784">
        <f>AA183</f>
        <v>0</v>
      </c>
      <c r="AB184" s="785">
        <f>AB183*1.22</f>
        <v>0</v>
      </c>
      <c r="AC184" s="786">
        <f>AC183*1.22</f>
        <v>0</v>
      </c>
      <c r="AD184" s="784">
        <f>AD183</f>
        <v>0</v>
      </c>
      <c r="AE184" s="785">
        <f>AE183*1.22</f>
        <v>0</v>
      </c>
    </row>
    <row r="185" spans="20:31" ht="15" thickBot="1" x14ac:dyDescent="0.4">
      <c r="W185" s="541"/>
      <c r="X185" s="541"/>
      <c r="Y185" s="541"/>
      <c r="Z185" s="791"/>
      <c r="AA185" s="791"/>
      <c r="AB185" s="791"/>
      <c r="AC185" s="791"/>
      <c r="AD185" s="791"/>
      <c r="AE185" s="791"/>
    </row>
    <row r="186" spans="20:31" x14ac:dyDescent="0.35">
      <c r="T186" s="1" t="s">
        <v>281</v>
      </c>
      <c r="W186" s="537">
        <f t="shared" ref="W186:AE186" si="121">SUMIFS(W$45:W$73, $G$45:$G$73, $G$79, $O$45:$O$73, "Baaseelarve")+SUMIFS(W$45:W$73, $G$45:$G$73, $G$79, $O$45:$O$73, "Muu rahastus")+SUMIFS(W$45:W$73, $G$45:$G$73, $G$79, $O$45:$O$73, "Reserv (SR)")+SUMIFS(W$45:W$73, $G$45:$G$73, $G$79, $O$45:$O$73, "RRF")+SUMIFS(W$45:W$73, $G$45:$G$73, $G$79, $O$45:$O$73, "SF 14-20 (töös olev projekt)")</f>
        <v>0</v>
      </c>
      <c r="X186" s="538">
        <f t="shared" si="121"/>
        <v>0</v>
      </c>
      <c r="Y186" s="543">
        <f t="shared" si="121"/>
        <v>0</v>
      </c>
      <c r="Z186" s="779">
        <f t="shared" si="121"/>
        <v>0</v>
      </c>
      <c r="AA186" s="788">
        <f t="shared" si="121"/>
        <v>0</v>
      </c>
      <c r="AB186" s="789">
        <f t="shared" si="121"/>
        <v>0</v>
      </c>
      <c r="AC186" s="790">
        <f t="shared" si="121"/>
        <v>0</v>
      </c>
      <c r="AD186" s="788">
        <f t="shared" si="121"/>
        <v>0</v>
      </c>
      <c r="AE186" s="789">
        <f t="shared" si="121"/>
        <v>0</v>
      </c>
    </row>
    <row r="187" spans="20:31" ht="15" thickBot="1" x14ac:dyDescent="0.4">
      <c r="T187" s="246" t="s">
        <v>277</v>
      </c>
      <c r="W187" s="539">
        <f>W186*1.2</f>
        <v>0</v>
      </c>
      <c r="X187" s="540">
        <f>X186</f>
        <v>0</v>
      </c>
      <c r="Y187" s="544">
        <f>Y186*1.2</f>
        <v>0</v>
      </c>
      <c r="Z187" s="783">
        <f>Z186*1.22</f>
        <v>0</v>
      </c>
      <c r="AA187" s="784">
        <f>AA186</f>
        <v>0</v>
      </c>
      <c r="AB187" s="785">
        <f>AB186*1.22</f>
        <v>0</v>
      </c>
      <c r="AC187" s="786">
        <f>AC186*1.22</f>
        <v>0</v>
      </c>
      <c r="AD187" s="784">
        <f>AD186</f>
        <v>0</v>
      </c>
      <c r="AE187" s="785">
        <f>AE186*1.22</f>
        <v>0</v>
      </c>
    </row>
    <row r="188" spans="20:31" ht="15" thickBot="1" x14ac:dyDescent="0.4">
      <c r="W188" s="541"/>
      <c r="X188" s="541"/>
      <c r="Y188" s="541"/>
      <c r="Z188" s="791"/>
      <c r="AA188" s="791"/>
      <c r="AB188" s="791"/>
      <c r="AC188" s="791"/>
      <c r="AD188" s="791"/>
      <c r="AE188" s="791"/>
    </row>
    <row r="189" spans="20:31" x14ac:dyDescent="0.35">
      <c r="T189" s="1" t="s">
        <v>10</v>
      </c>
      <c r="W189" s="537">
        <f t="shared" ref="W189:AE189" si="122">SUMIFS(W$45:W$73, $G$45:$G$73, $G$80, $O$45:$O$73, "Baaseelarve")+SUMIFS(W$45:W$73, $G$45:$G$73, $G$80, $O$45:$O$73, "Muu rahastus")+SUMIFS(W$45:W$73, $G$45:$G$73, $G$80, $O$45:$O$73, "Reserv (SR)")+SUMIFS(W$45:W$73, $G$45:$G$73, $G$80, $O$45:$O$73, "RRF")+SUMIFS(W$45:W$73, $G$45:$G$73, $G$80, $O$45:$O$73, "SF 14-20 (töös olev projekt)")</f>
        <v>309600</v>
      </c>
      <c r="X189" s="538">
        <f t="shared" si="122"/>
        <v>192000</v>
      </c>
      <c r="Y189" s="543">
        <f t="shared" si="122"/>
        <v>0</v>
      </c>
      <c r="Z189" s="779">
        <f t="shared" si="122"/>
        <v>4244938.04</v>
      </c>
      <c r="AA189" s="788">
        <f t="shared" si="122"/>
        <v>1519133</v>
      </c>
      <c r="AB189" s="789">
        <f t="shared" si="122"/>
        <v>22247</v>
      </c>
      <c r="AC189" s="790">
        <f t="shared" si="122"/>
        <v>648620.22</v>
      </c>
      <c r="AD189" s="788">
        <f t="shared" si="122"/>
        <v>362206</v>
      </c>
      <c r="AE189" s="789">
        <f t="shared" si="122"/>
        <v>119068.69</v>
      </c>
    </row>
    <row r="190" spans="20:31" ht="15" thickBot="1" x14ac:dyDescent="0.4">
      <c r="T190" s="246" t="s">
        <v>277</v>
      </c>
      <c r="W190" s="539">
        <f>W189*1.2</f>
        <v>371520</v>
      </c>
      <c r="X190" s="540">
        <f>X189</f>
        <v>192000</v>
      </c>
      <c r="Y190" s="544">
        <f>Y189*1.2</f>
        <v>0</v>
      </c>
      <c r="Z190" s="783">
        <f>Z189*1.22</f>
        <v>5178824.4088000003</v>
      </c>
      <c r="AA190" s="784">
        <f>AA189</f>
        <v>1519133</v>
      </c>
      <c r="AB190" s="785">
        <f>AB189*1.22</f>
        <v>27141.34</v>
      </c>
      <c r="AC190" s="786">
        <f>AC189*1.22</f>
        <v>791316.66839999997</v>
      </c>
      <c r="AD190" s="784">
        <f>AD189</f>
        <v>362206</v>
      </c>
      <c r="AE190" s="785">
        <f>AE189*1.22</f>
        <v>145263.80179999999</v>
      </c>
    </row>
    <row r="191" spans="20:31" x14ac:dyDescent="0.35">
      <c r="W191" s="541"/>
      <c r="X191" s="541"/>
      <c r="Y191" s="541"/>
      <c r="Z191" s="791"/>
      <c r="AA191" s="791"/>
      <c r="AB191" s="791"/>
      <c r="AC191" s="791"/>
      <c r="AD191" s="791"/>
      <c r="AE191" s="791"/>
    </row>
    <row r="192" spans="20:31" x14ac:dyDescent="0.35">
      <c r="W192" s="541"/>
      <c r="X192" s="541"/>
      <c r="Y192" s="541"/>
      <c r="Z192" s="791"/>
      <c r="AA192" s="791"/>
      <c r="AB192" s="791"/>
      <c r="AC192" s="791"/>
      <c r="AD192" s="791"/>
      <c r="AE192" s="791"/>
    </row>
    <row r="193" spans="20:31" x14ac:dyDescent="0.35">
      <c r="W193" s="541"/>
      <c r="X193" s="541"/>
      <c r="Y193" s="541"/>
      <c r="Z193" s="791"/>
      <c r="AA193" s="791"/>
      <c r="AB193" s="791"/>
      <c r="AC193" s="791"/>
      <c r="AD193" s="791"/>
      <c r="AE193" s="791"/>
    </row>
    <row r="194" spans="20:31" ht="15" thickBot="1" x14ac:dyDescent="0.4">
      <c r="T194" s="242" t="s">
        <v>254</v>
      </c>
      <c r="W194" s="542"/>
      <c r="X194" s="542"/>
      <c r="Y194" s="542"/>
      <c r="Z194" s="787"/>
      <c r="AA194" s="787"/>
      <c r="AB194" s="787"/>
      <c r="AC194" s="787"/>
      <c r="AD194" s="787"/>
      <c r="AE194" s="787"/>
    </row>
    <row r="195" spans="20:31" x14ac:dyDescent="0.35">
      <c r="T195" s="1" t="s">
        <v>7</v>
      </c>
      <c r="W195" s="537">
        <f t="shared" ref="W195:AE195" si="123">SUMIFS(W$45:W$73,$G$45:$G$73,$G$77,$O$45:$O$73,$O$79)</f>
        <v>0</v>
      </c>
      <c r="X195" s="538">
        <f t="shared" si="123"/>
        <v>0</v>
      </c>
      <c r="Y195" s="543">
        <f t="shared" si="123"/>
        <v>0</v>
      </c>
      <c r="Z195" s="779">
        <f t="shared" si="123"/>
        <v>0</v>
      </c>
      <c r="AA195" s="788">
        <f t="shared" si="123"/>
        <v>0</v>
      </c>
      <c r="AB195" s="789">
        <f t="shared" si="123"/>
        <v>0</v>
      </c>
      <c r="AC195" s="790">
        <f t="shared" si="123"/>
        <v>0</v>
      </c>
      <c r="AD195" s="788">
        <f t="shared" si="123"/>
        <v>0</v>
      </c>
      <c r="AE195" s="789">
        <f t="shared" si="123"/>
        <v>0</v>
      </c>
    </row>
    <row r="196" spans="20:31" ht="15" thickBot="1" x14ac:dyDescent="0.4">
      <c r="T196" s="246" t="s">
        <v>277</v>
      </c>
      <c r="W196" s="539">
        <f>W195*1.2</f>
        <v>0</v>
      </c>
      <c r="X196" s="540">
        <f>X195</f>
        <v>0</v>
      </c>
      <c r="Y196" s="544">
        <f>Y195*1.2</f>
        <v>0</v>
      </c>
      <c r="Z196" s="783">
        <f>Z195*1.22</f>
        <v>0</v>
      </c>
      <c r="AA196" s="784">
        <f>AA195</f>
        <v>0</v>
      </c>
      <c r="AB196" s="785">
        <f>AB195*1.22</f>
        <v>0</v>
      </c>
      <c r="AC196" s="786">
        <f>AC195*1.22</f>
        <v>0</v>
      </c>
      <c r="AD196" s="784">
        <f>AD195</f>
        <v>0</v>
      </c>
      <c r="AE196" s="785">
        <f>AE195*1.22</f>
        <v>0</v>
      </c>
    </row>
    <row r="197" spans="20:31" ht="15" thickBot="1" x14ac:dyDescent="0.4">
      <c r="W197" s="541"/>
      <c r="X197" s="541"/>
      <c r="Y197" s="541"/>
      <c r="Z197" s="791"/>
      <c r="AA197" s="791"/>
      <c r="AB197" s="791"/>
      <c r="AC197" s="791"/>
      <c r="AD197" s="791"/>
      <c r="AE197" s="791"/>
    </row>
    <row r="198" spans="20:31" x14ac:dyDescent="0.35">
      <c r="T198" s="1" t="s">
        <v>8</v>
      </c>
      <c r="W198" s="537">
        <f t="shared" ref="W198:AE198" si="124">SUMIFS(W$45:W$73,$G$45:$G$73,$G$78,$O$45:$O$73,$O$79)</f>
        <v>0</v>
      </c>
      <c r="X198" s="538">
        <f t="shared" si="124"/>
        <v>0</v>
      </c>
      <c r="Y198" s="543">
        <f t="shared" si="124"/>
        <v>0</v>
      </c>
      <c r="Z198" s="779">
        <f t="shared" si="124"/>
        <v>0</v>
      </c>
      <c r="AA198" s="788">
        <f t="shared" si="124"/>
        <v>0</v>
      </c>
      <c r="AB198" s="789">
        <f t="shared" si="124"/>
        <v>0</v>
      </c>
      <c r="AC198" s="790">
        <f t="shared" si="124"/>
        <v>497000</v>
      </c>
      <c r="AD198" s="788">
        <f t="shared" si="124"/>
        <v>161800</v>
      </c>
      <c r="AE198" s="789">
        <f t="shared" si="124"/>
        <v>263900</v>
      </c>
    </row>
    <row r="199" spans="20:31" ht="15" thickBot="1" x14ac:dyDescent="0.4">
      <c r="T199" s="246" t="s">
        <v>277</v>
      </c>
      <c r="W199" s="539">
        <f>W198*1.2</f>
        <v>0</v>
      </c>
      <c r="X199" s="540">
        <f>X198</f>
        <v>0</v>
      </c>
      <c r="Y199" s="544">
        <f>Y198*1.2</f>
        <v>0</v>
      </c>
      <c r="Z199" s="783">
        <f>Z198*1.22</f>
        <v>0</v>
      </c>
      <c r="AA199" s="784">
        <f>AA198</f>
        <v>0</v>
      </c>
      <c r="AB199" s="785">
        <f>AB198*1.22</f>
        <v>0</v>
      </c>
      <c r="AC199" s="786">
        <f>AC198*1.22</f>
        <v>606340</v>
      </c>
      <c r="AD199" s="784">
        <f>AD198</f>
        <v>161800</v>
      </c>
      <c r="AE199" s="785">
        <f>AE198*1.22</f>
        <v>321958</v>
      </c>
    </row>
    <row r="200" spans="20:31" ht="15" thickBot="1" x14ac:dyDescent="0.4">
      <c r="W200" s="541"/>
      <c r="X200" s="541"/>
      <c r="Y200" s="541"/>
      <c r="Z200" s="791"/>
      <c r="AA200" s="791"/>
      <c r="AB200" s="791"/>
      <c r="AC200" s="791"/>
      <c r="AD200" s="791"/>
      <c r="AE200" s="791"/>
    </row>
    <row r="201" spans="20:31" x14ac:dyDescent="0.35">
      <c r="T201" s="1" t="s">
        <v>281</v>
      </c>
      <c r="W201" s="537">
        <f t="shared" ref="W201:AE201" si="125">SUMIFS(W$45:W$73,$G$45:$G$73,$G$79,$O$45:$O$73,$O$79)</f>
        <v>0</v>
      </c>
      <c r="X201" s="538">
        <f t="shared" si="125"/>
        <v>0</v>
      </c>
      <c r="Y201" s="543">
        <f t="shared" si="125"/>
        <v>0</v>
      </c>
      <c r="Z201" s="779">
        <f t="shared" si="125"/>
        <v>0</v>
      </c>
      <c r="AA201" s="788">
        <f t="shared" si="125"/>
        <v>0</v>
      </c>
      <c r="AB201" s="789">
        <f t="shared" si="125"/>
        <v>0</v>
      </c>
      <c r="AC201" s="790">
        <f t="shared" si="125"/>
        <v>0</v>
      </c>
      <c r="AD201" s="788">
        <f t="shared" si="125"/>
        <v>0</v>
      </c>
      <c r="AE201" s="789">
        <f t="shared" si="125"/>
        <v>0</v>
      </c>
    </row>
    <row r="202" spans="20:31" ht="15" thickBot="1" x14ac:dyDescent="0.4">
      <c r="T202" s="246" t="s">
        <v>277</v>
      </c>
      <c r="W202" s="539">
        <f>W201*1.2</f>
        <v>0</v>
      </c>
      <c r="X202" s="540">
        <f>X201</f>
        <v>0</v>
      </c>
      <c r="Y202" s="544">
        <f>Y201*1.2</f>
        <v>0</v>
      </c>
      <c r="Z202" s="783">
        <f>Z201*1.22</f>
        <v>0</v>
      </c>
      <c r="AA202" s="784">
        <f>AA201</f>
        <v>0</v>
      </c>
      <c r="AB202" s="785">
        <f>AB201*1.22</f>
        <v>0</v>
      </c>
      <c r="AC202" s="786">
        <f>AC201*1.22</f>
        <v>0</v>
      </c>
      <c r="AD202" s="784">
        <f>AD201</f>
        <v>0</v>
      </c>
      <c r="AE202" s="785">
        <f>AE201*1.22</f>
        <v>0</v>
      </c>
    </row>
    <row r="203" spans="20:31" ht="15" thickBot="1" x14ac:dyDescent="0.4">
      <c r="W203" s="541"/>
      <c r="X203" s="541"/>
      <c r="Y203" s="541"/>
      <c r="Z203" s="791"/>
      <c r="AA203" s="791"/>
      <c r="AB203" s="791"/>
      <c r="AC203" s="791"/>
      <c r="AD203" s="791"/>
      <c r="AE203" s="791"/>
    </row>
    <row r="204" spans="20:31" x14ac:dyDescent="0.35">
      <c r="T204" s="1" t="s">
        <v>10</v>
      </c>
      <c r="W204" s="537">
        <f t="shared" ref="W204:AE204" si="126">SUMIFS(W$45:W$73,$G$45:$G$73,$G$80,$O$45:$O$73,$O$79)</f>
        <v>0</v>
      </c>
      <c r="X204" s="538">
        <f t="shared" si="126"/>
        <v>0</v>
      </c>
      <c r="Y204" s="543">
        <f t="shared" si="126"/>
        <v>0</v>
      </c>
      <c r="Z204" s="779">
        <f t="shared" si="126"/>
        <v>0</v>
      </c>
      <c r="AA204" s="788">
        <f t="shared" si="126"/>
        <v>0</v>
      </c>
      <c r="AB204" s="789">
        <f t="shared" si="126"/>
        <v>0</v>
      </c>
      <c r="AC204" s="790">
        <f t="shared" si="126"/>
        <v>0</v>
      </c>
      <c r="AD204" s="788">
        <f t="shared" si="126"/>
        <v>0</v>
      </c>
      <c r="AE204" s="789">
        <f t="shared" si="126"/>
        <v>0</v>
      </c>
    </row>
    <row r="205" spans="20:31" ht="15" thickBot="1" x14ac:dyDescent="0.4">
      <c r="T205" s="246" t="s">
        <v>277</v>
      </c>
      <c r="W205" s="539">
        <f>W204*1.2</f>
        <v>0</v>
      </c>
      <c r="X205" s="540">
        <f>X204</f>
        <v>0</v>
      </c>
      <c r="Y205" s="544">
        <f>Y204*1.2</f>
        <v>0</v>
      </c>
      <c r="Z205" s="783">
        <f>Z204*1.22</f>
        <v>0</v>
      </c>
      <c r="AA205" s="784">
        <f>AA204</f>
        <v>0</v>
      </c>
      <c r="AB205" s="785">
        <f>AB204*1.22</f>
        <v>0</v>
      </c>
      <c r="AC205" s="786">
        <f>AC204*1.22</f>
        <v>0</v>
      </c>
      <c r="AD205" s="784">
        <f>AD204</f>
        <v>0</v>
      </c>
      <c r="AE205" s="785">
        <f>AE204*1.22</f>
        <v>0</v>
      </c>
    </row>
  </sheetData>
  <sheetProtection sort="0" autoFilter="0"/>
  <autoFilter ref="A33:AQ75" xr:uid="{26F4B7B0-4764-496D-9313-E7C884B0D6FB}">
    <filterColumn colId="14">
      <filters>
        <filter val="SF 21-27 (taotletav raha)"/>
      </filters>
    </filterColumn>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autoFilter>
  <mergeCells count="22">
    <mergeCell ref="W32:AN32"/>
    <mergeCell ref="B17:I17"/>
    <mergeCell ref="B20:I20"/>
    <mergeCell ref="B26:I26"/>
    <mergeCell ref="B23:I23"/>
    <mergeCell ref="K20:Q20"/>
    <mergeCell ref="K23:Q23"/>
    <mergeCell ref="K17:Q17"/>
    <mergeCell ref="AL33:AN33"/>
    <mergeCell ref="W33:Y33"/>
    <mergeCell ref="Z33:AB33"/>
    <mergeCell ref="AC33:AE33"/>
    <mergeCell ref="AF33:AH33"/>
    <mergeCell ref="AI33:AK33"/>
    <mergeCell ref="B2:E2"/>
    <mergeCell ref="G2:K2"/>
    <mergeCell ref="Q34:V34"/>
    <mergeCell ref="K26:Q26"/>
    <mergeCell ref="K19:Q19"/>
    <mergeCell ref="K22:Q22"/>
    <mergeCell ref="K25:Q25"/>
    <mergeCell ref="K28:Q28"/>
  </mergeCells>
  <phoneticPr fontId="7" type="noConversion"/>
  <dataValidations count="9">
    <dataValidation type="list" allowBlank="1" showInputMessage="1" showErrorMessage="1" sqref="O98:O130 O31:O32 N96 M97" xr:uid="{258C40CF-7ED3-46AD-9DBE-9E35B6A83AF2}">
      <formula1>$Q$19:$Q$22</formula1>
    </dataValidation>
    <dataValidation type="list" allowBlank="1" showInputMessage="1" showErrorMessage="1" sqref="F97:F131 F31:F32" xr:uid="{6788E54C-2BD5-4096-85C2-888BADA7E1F2}">
      <formula1>$H$3:$K$3</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 type="list" allowBlank="1" showInputMessage="1" showErrorMessage="1" sqref="O35:O74" xr:uid="{D3E718C6-7AB1-4871-9C15-0A5014791696}">
      <formula1>$O$77:$O$83</formula1>
    </dataValidation>
    <dataValidation type="list" allowBlank="1" showInputMessage="1" showErrorMessage="1" sqref="E35:E74" xr:uid="{4537B685-D58B-48A6-A09A-6E7B0652C7B9}">
      <formula1>$E$77:$E$79</formula1>
    </dataValidation>
    <dataValidation type="list" allowBlank="1" showInputMessage="1" showErrorMessage="1" sqref="F35:F74" xr:uid="{EA197172-5E41-4726-AB9F-2F1BADFCFFAC}">
      <formula1>$F$77:$F$95</formula1>
    </dataValidation>
    <dataValidation type="list" allowBlank="1" showInputMessage="1" showErrorMessage="1" sqref="G35:G74" xr:uid="{58A20634-86BF-47AA-9970-DA930862660F}">
      <formula1>$G$77:$G$80</formula1>
    </dataValidation>
    <dataValidation type="list" allowBlank="1" showInputMessage="1" showErrorMessage="1" sqref="AP35:AP74" xr:uid="{63C0EE7F-3A35-4E09-8468-E4CA0CE5603D}">
      <formula1>$AP$77:$AP$81</formula1>
    </dataValidation>
  </dataValidations>
  <pageMargins left="0.7" right="0.7" top="0.75" bottom="0.75" header="0.3" footer="0.3"/>
  <pageSetup paperSize="9" orientation="portrait" r:id="rId1"/>
  <ignoredErrors>
    <ignoredError sqref="AF5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55"/>
  <sheetViews>
    <sheetView topLeftCell="AJ88" zoomScale="68" zoomScaleNormal="68" workbookViewId="0">
      <selection activeCell="J109" sqref="J109"/>
    </sheetView>
  </sheetViews>
  <sheetFormatPr defaultColWidth="8.90625" defaultRowHeight="15" customHeight="1" x14ac:dyDescent="0.35"/>
  <cols>
    <col min="1" max="1" width="21.36328125" customWidth="1"/>
    <col min="2" max="2" width="15" customWidth="1"/>
    <col min="3" max="3" width="13.6328125" customWidth="1"/>
    <col min="4" max="4" width="14.08984375" customWidth="1"/>
    <col min="5" max="5" width="16.6328125" customWidth="1"/>
    <col min="6" max="6" width="18.453125" customWidth="1"/>
    <col min="7" max="7" width="14.08984375" customWidth="1"/>
    <col min="8" max="8" width="11.6328125" customWidth="1"/>
    <col min="9" max="9" width="20.36328125" customWidth="1"/>
    <col min="10" max="10" width="25.36328125" style="3" customWidth="1"/>
    <col min="11" max="11" width="42" customWidth="1"/>
    <col min="12" max="12" width="12" hidden="1" customWidth="1"/>
    <col min="13" max="13" width="14.36328125" hidden="1" customWidth="1"/>
    <col min="14" max="14" width="12.36328125" customWidth="1"/>
    <col min="16" max="16" width="14.90625" bestFit="1" customWidth="1"/>
    <col min="17" max="17" width="10.453125" bestFit="1" customWidth="1"/>
    <col min="18" max="21" width="13.08984375" customWidth="1"/>
    <col min="22" max="22" width="9.08984375" customWidth="1"/>
    <col min="23" max="24" width="10.453125" bestFit="1" customWidth="1"/>
    <col min="25" max="25" width="11" bestFit="1" customWidth="1"/>
    <col min="26" max="36" width="10.08984375" customWidth="1"/>
    <col min="37" max="37" width="40.36328125" customWidth="1"/>
    <col min="38" max="38" width="37" customWidth="1"/>
    <col min="39" max="39" width="60.6328125" customWidth="1"/>
    <col min="40" max="40" width="9.08984375" customWidth="1"/>
    <col min="41" max="42" width="10.08984375" bestFit="1" customWidth="1"/>
    <col min="43" max="43" width="10.6328125" customWidth="1"/>
    <col min="44" max="44" width="73.453125" customWidth="1"/>
  </cols>
  <sheetData>
    <row r="1" spans="1:11" ht="14.5" x14ac:dyDescent="0.35">
      <c r="A1" s="5" t="s">
        <v>294</v>
      </c>
      <c r="B1" s="199"/>
      <c r="C1" s="200"/>
      <c r="D1" s="200"/>
      <c r="E1" s="8"/>
      <c r="F1" s="349"/>
      <c r="G1" s="349"/>
      <c r="H1" s="349"/>
      <c r="I1" s="8"/>
    </row>
    <row r="2" spans="1:11" ht="30.75" customHeight="1" x14ac:dyDescent="0.35">
      <c r="A2" s="7" t="s">
        <v>1</v>
      </c>
      <c r="B2" s="625" t="s">
        <v>2</v>
      </c>
      <c r="C2" s="625"/>
      <c r="D2" s="625"/>
      <c r="E2" s="8"/>
      <c r="F2" s="8"/>
      <c r="G2" s="8"/>
      <c r="H2" s="8"/>
      <c r="I2" s="8"/>
      <c r="J2" s="4"/>
    </row>
    <row r="3" spans="1:11" ht="14.5" x14ac:dyDescent="0.35">
      <c r="A3" s="11" t="s">
        <v>4</v>
      </c>
      <c r="B3" s="12" t="s">
        <v>295</v>
      </c>
      <c r="C3" s="13">
        <v>2023</v>
      </c>
      <c r="D3" s="13">
        <v>2024</v>
      </c>
      <c r="E3" s="8"/>
      <c r="F3" s="8"/>
      <c r="G3" s="8"/>
      <c r="H3" s="8"/>
      <c r="I3" s="8"/>
      <c r="J3" s="4"/>
      <c r="K3" s="3"/>
    </row>
    <row r="4" spans="1:11" ht="14.5" x14ac:dyDescent="0.35">
      <c r="A4" s="5" t="s">
        <v>11</v>
      </c>
      <c r="B4" s="9">
        <f>SUM(C4:D4)</f>
        <v>73014104.604644611</v>
      </c>
      <c r="C4" s="9">
        <f>SUM(C5+C12)</f>
        <v>33153108.076893527</v>
      </c>
      <c r="D4" s="9">
        <f>SUM(D5+D12)</f>
        <v>39860996.527751088</v>
      </c>
      <c r="E4" s="8"/>
      <c r="F4" s="8"/>
      <c r="G4" s="8"/>
      <c r="H4" s="8"/>
      <c r="I4" s="8"/>
      <c r="J4" s="4"/>
      <c r="K4" s="4"/>
    </row>
    <row r="5" spans="1:11" ht="15.5" x14ac:dyDescent="0.35">
      <c r="A5" s="5" t="s">
        <v>12</v>
      </c>
      <c r="B5" s="9">
        <f>SUM(C5:D5)</f>
        <v>51006387.271311283</v>
      </c>
      <c r="C5" s="9">
        <f>SUM(C6:C11)</f>
        <v>32471263.076893527</v>
      </c>
      <c r="D5" s="9">
        <f>SUM(D6:D11)</f>
        <v>18535124.194417756</v>
      </c>
      <c r="E5" s="16"/>
      <c r="F5" s="8"/>
      <c r="G5" s="8"/>
      <c r="H5" s="8"/>
      <c r="I5" s="8"/>
      <c r="J5" s="4"/>
    </row>
    <row r="6" spans="1:11" ht="14.5" x14ac:dyDescent="0.35">
      <c r="A6" s="30" t="s">
        <v>13</v>
      </c>
      <c r="B6" s="17">
        <f t="shared" ref="B6:B14" si="0">SUM(C6:D6)</f>
        <v>30165108.271311283</v>
      </c>
      <c r="C6" s="18">
        <f>SUMIFS(Q35:Q132,O35:O132,"Baaseelarve")</f>
        <v>17688139.076893527</v>
      </c>
      <c r="D6" s="18">
        <f>SUMIFS(R35:R132,O35:O132,"Baaseelarve")</f>
        <v>12476969.194417756</v>
      </c>
      <c r="E6" s="10"/>
      <c r="F6" s="8"/>
      <c r="G6" s="8"/>
      <c r="H6" s="8"/>
      <c r="I6" s="8"/>
      <c r="J6" s="4"/>
    </row>
    <row r="7" spans="1:11" ht="14.5" x14ac:dyDescent="0.35">
      <c r="A7" s="30" t="s">
        <v>14</v>
      </c>
      <c r="B7" s="17">
        <f t="shared" si="0"/>
        <v>12461947</v>
      </c>
      <c r="C7" s="18">
        <f>SUMIFS(Q35:Q132,O35:O132,"Muu rahastus")</f>
        <v>8918066</v>
      </c>
      <c r="D7" s="18">
        <f>SUMIFS(R35:R132,O35:O132,"Muu rahastus")</f>
        <v>3543881</v>
      </c>
      <c r="E7" s="10"/>
      <c r="F7" s="8"/>
      <c r="G7" s="8"/>
      <c r="H7" s="8"/>
      <c r="I7" s="8"/>
      <c r="J7" s="4"/>
    </row>
    <row r="8" spans="1:11" ht="14.5" x14ac:dyDescent="0.35">
      <c r="A8" s="30" t="s">
        <v>15</v>
      </c>
      <c r="B8" s="17">
        <f t="shared" si="0"/>
        <v>4096000</v>
      </c>
      <c r="C8" s="18">
        <f>SUMIFS(Q35:Q132,O35:O132,"Reserv (SR)")</f>
        <v>1654000</v>
      </c>
      <c r="D8" s="18">
        <f>SUMIFS(R35:R132,O35:O132,"Reserv (SR)")</f>
        <v>2442000</v>
      </c>
      <c r="E8" s="10"/>
      <c r="F8" s="8"/>
      <c r="G8" s="8"/>
      <c r="H8" s="8"/>
      <c r="I8" s="8"/>
      <c r="J8" s="4"/>
    </row>
    <row r="9" spans="1:11" ht="14.5" hidden="1" x14ac:dyDescent="0.35">
      <c r="A9" s="30" t="s">
        <v>16</v>
      </c>
      <c r="B9" s="17">
        <f t="shared" si="0"/>
        <v>0</v>
      </c>
      <c r="C9" s="18">
        <f>SUMIFS(Q35:Q132,O35:O132,"RRF")</f>
        <v>0</v>
      </c>
      <c r="D9" s="18">
        <f>SUMIFS(R35:R132,O35:O132,"RRF")</f>
        <v>0</v>
      </c>
      <c r="E9" s="10"/>
      <c r="F9" s="8"/>
      <c r="G9" s="8"/>
      <c r="H9" s="8"/>
      <c r="I9" s="8"/>
      <c r="J9" s="4"/>
    </row>
    <row r="10" spans="1:11" ht="14.5" x14ac:dyDescent="0.35">
      <c r="A10" s="30" t="s">
        <v>17</v>
      </c>
      <c r="B10" s="17">
        <f t="shared" si="0"/>
        <v>4283332</v>
      </c>
      <c r="C10" s="18">
        <f>SUMIFS(Q35:Q132,O35:O132,"SF 14-20 (töös olev projekt)")</f>
        <v>4211058</v>
      </c>
      <c r="D10" s="18">
        <f>SUMIFS(R35:R132,O35:O132,"SF 14-20 (töös olev projekt)")</f>
        <v>72274</v>
      </c>
      <c r="E10" s="10"/>
      <c r="F10" s="8"/>
      <c r="G10" s="8"/>
      <c r="H10" s="8"/>
      <c r="I10" s="8"/>
      <c r="J10" s="4"/>
    </row>
    <row r="11" spans="1:11" ht="14.5" x14ac:dyDescent="0.35">
      <c r="A11" s="30" t="s">
        <v>18</v>
      </c>
      <c r="B11" s="17">
        <f>SUM(C11:D11)</f>
        <v>0</v>
      </c>
      <c r="C11" s="18"/>
      <c r="D11" s="18"/>
      <c r="E11" s="10"/>
      <c r="F11" s="8"/>
      <c r="G11" s="8"/>
      <c r="H11" s="8"/>
      <c r="I11" s="8"/>
      <c r="J11" s="4"/>
    </row>
    <row r="12" spans="1:11" ht="14.5" x14ac:dyDescent="0.35">
      <c r="A12" s="5" t="s">
        <v>19</v>
      </c>
      <c r="B12" s="9">
        <f t="shared" si="0"/>
        <v>22007717.333333332</v>
      </c>
      <c r="C12" s="9">
        <f>SUM(C13:C14)</f>
        <v>681845</v>
      </c>
      <c r="D12" s="9">
        <f>SUM(D13:D14)</f>
        <v>21325872.333333332</v>
      </c>
      <c r="E12" s="10"/>
      <c r="F12" s="8"/>
      <c r="G12" s="8"/>
      <c r="H12" s="8"/>
      <c r="I12" s="8"/>
      <c r="J12" s="4"/>
    </row>
    <row r="13" spans="1:11" ht="14.5" x14ac:dyDescent="0.35">
      <c r="A13" s="30" t="s">
        <v>20</v>
      </c>
      <c r="B13" s="17">
        <f t="shared" si="0"/>
        <v>16478427</v>
      </c>
      <c r="C13" s="18">
        <f>SUMIFS(Q35:Q133,O35:O133,"RES IKT (vaja juurde taotleda)")</f>
        <v>0</v>
      </c>
      <c r="D13" s="18">
        <f>SUMIFS(R35:R133,O35:O133,"RES IKT (vaja juurde taotleda)")</f>
        <v>16478427</v>
      </c>
      <c r="E13" s="10" t="s">
        <v>296</v>
      </c>
      <c r="F13" s="8"/>
      <c r="G13" s="8"/>
      <c r="H13" s="8"/>
      <c r="I13" s="8"/>
      <c r="J13" s="4"/>
    </row>
    <row r="14" spans="1:11" ht="14.5" x14ac:dyDescent="0.35">
      <c r="A14" s="30" t="s">
        <v>22</v>
      </c>
      <c r="B14" s="17">
        <f t="shared" si="0"/>
        <v>5529290.333333333</v>
      </c>
      <c r="C14" s="18">
        <f>SUMIFS(Q35:Q132,O35:O132,"SF 21-27 (taotletav raha)")</f>
        <v>681845</v>
      </c>
      <c r="D14" s="18">
        <f>SUMIFS(R35:R132,O35:O132,"SF 21-27 (taotletav raha)")</f>
        <v>4847445.333333333</v>
      </c>
      <c r="E14" s="10"/>
      <c r="F14" s="8"/>
      <c r="G14" s="8"/>
      <c r="H14" s="8"/>
      <c r="I14" s="8"/>
      <c r="J14" s="4"/>
    </row>
    <row r="15" spans="1:11" ht="14.5" x14ac:dyDescent="0.35">
      <c r="A15" s="6"/>
      <c r="B15" s="6"/>
      <c r="C15" s="6"/>
      <c r="D15" s="6"/>
      <c r="E15" s="6"/>
      <c r="F15" s="6"/>
      <c r="G15" s="6"/>
      <c r="H15" s="6"/>
      <c r="I15" s="6"/>
    </row>
    <row r="16" spans="1:11" ht="14.5" x14ac:dyDescent="0.35">
      <c r="A16" s="10" t="s">
        <v>24</v>
      </c>
      <c r="B16" s="6"/>
      <c r="C16" s="6"/>
      <c r="D16" s="6"/>
      <c r="E16" s="6"/>
      <c r="F16" s="6"/>
      <c r="G16" s="6"/>
      <c r="H16" s="6"/>
      <c r="I16" s="6"/>
    </row>
    <row r="17" spans="1:44" ht="29.15" customHeight="1" x14ac:dyDescent="0.35">
      <c r="A17" s="52" t="s">
        <v>25</v>
      </c>
      <c r="B17" s="620" t="s">
        <v>26</v>
      </c>
      <c r="C17" s="620"/>
      <c r="D17" s="620"/>
      <c r="E17" s="620"/>
      <c r="F17" s="620"/>
      <c r="G17" s="620"/>
      <c r="H17" s="620"/>
      <c r="I17" s="620"/>
      <c r="J17" s="350" t="s">
        <v>27</v>
      </c>
      <c r="K17" s="636" t="s">
        <v>28</v>
      </c>
      <c r="L17" s="608"/>
      <c r="M17" s="608"/>
      <c r="N17" s="608"/>
      <c r="O17" s="608"/>
      <c r="P17" s="608"/>
      <c r="Q17" s="637"/>
    </row>
    <row r="18" spans="1:44" ht="29" x14ac:dyDescent="0.35">
      <c r="A18" s="53" t="s">
        <v>297</v>
      </c>
      <c r="B18" s="115" t="s">
        <v>30</v>
      </c>
      <c r="C18" s="116" t="s">
        <v>31</v>
      </c>
      <c r="D18" s="116" t="s">
        <v>32</v>
      </c>
      <c r="E18" s="116" t="s">
        <v>33</v>
      </c>
      <c r="F18" s="116" t="s">
        <v>34</v>
      </c>
      <c r="G18" s="116" t="s">
        <v>35</v>
      </c>
      <c r="H18" s="116" t="s">
        <v>36</v>
      </c>
      <c r="I18" s="232" t="s">
        <v>37</v>
      </c>
      <c r="J18" s="351"/>
      <c r="K18" s="353"/>
      <c r="Q18" s="74"/>
    </row>
    <row r="19" spans="1:44" ht="14.5" x14ac:dyDescent="0.35">
      <c r="A19" s="414" t="s">
        <v>298</v>
      </c>
      <c r="B19" s="415">
        <v>0</v>
      </c>
      <c r="C19" s="416"/>
      <c r="D19" s="416"/>
      <c r="E19" s="416"/>
      <c r="F19" s="416"/>
      <c r="G19" s="416"/>
      <c r="H19" s="416"/>
      <c r="I19" s="417">
        <v>1006500</v>
      </c>
      <c r="J19" s="352"/>
      <c r="K19" s="632" t="s">
        <v>39</v>
      </c>
      <c r="L19" s="611"/>
      <c r="M19" s="611"/>
      <c r="N19" s="611"/>
      <c r="O19" s="611"/>
      <c r="P19" s="611"/>
      <c r="Q19" s="633"/>
    </row>
    <row r="20" spans="1:44" ht="29.15" customHeight="1" x14ac:dyDescent="0.35">
      <c r="A20" s="405" t="s">
        <v>40</v>
      </c>
      <c r="B20" s="634"/>
      <c r="C20" s="634"/>
      <c r="D20" s="634"/>
      <c r="E20" s="634"/>
      <c r="F20" s="634"/>
      <c r="G20" s="634"/>
      <c r="H20" s="634"/>
      <c r="I20" s="635"/>
      <c r="J20" s="411"/>
      <c r="K20" s="636" t="s">
        <v>42</v>
      </c>
      <c r="L20" s="608"/>
      <c r="M20" s="608"/>
      <c r="N20" s="608"/>
      <c r="O20" s="608"/>
      <c r="P20" s="608"/>
      <c r="Q20" s="637"/>
    </row>
    <row r="21" spans="1:44" ht="29" x14ac:dyDescent="0.35">
      <c r="A21" s="406" t="s">
        <v>297</v>
      </c>
      <c r="B21" s="115" t="s">
        <v>30</v>
      </c>
      <c r="C21" s="116" t="s">
        <v>31</v>
      </c>
      <c r="D21" s="116" t="s">
        <v>32</v>
      </c>
      <c r="E21" s="116" t="s">
        <v>33</v>
      </c>
      <c r="F21" s="116" t="s">
        <v>34</v>
      </c>
      <c r="G21" s="116" t="s">
        <v>35</v>
      </c>
      <c r="H21" s="116" t="s">
        <v>36</v>
      </c>
      <c r="I21" s="407" t="s">
        <v>37</v>
      </c>
      <c r="J21" s="412"/>
      <c r="K21" s="353"/>
      <c r="Q21" s="74"/>
    </row>
    <row r="22" spans="1:44" ht="14.5" x14ac:dyDescent="0.35">
      <c r="A22" s="421" t="s">
        <v>298</v>
      </c>
      <c r="B22" s="415">
        <v>0</v>
      </c>
      <c r="C22" s="416"/>
      <c r="D22" s="416"/>
      <c r="E22" s="416"/>
      <c r="F22" s="416"/>
      <c r="G22" s="416"/>
      <c r="H22" s="416"/>
      <c r="I22" s="422">
        <v>7</v>
      </c>
      <c r="J22" s="413"/>
      <c r="K22" s="632" t="s">
        <v>44</v>
      </c>
      <c r="L22" s="611"/>
      <c r="M22" s="611"/>
      <c r="N22" s="611"/>
      <c r="O22" s="611"/>
      <c r="P22" s="611"/>
      <c r="Q22" s="633"/>
    </row>
    <row r="23" spans="1:44" ht="29.15" customHeight="1" x14ac:dyDescent="0.35">
      <c r="A23" s="405" t="s">
        <v>40</v>
      </c>
      <c r="B23" s="634" t="s">
        <v>45</v>
      </c>
      <c r="C23" s="634"/>
      <c r="D23" s="634"/>
      <c r="E23" s="634"/>
      <c r="F23" s="634"/>
      <c r="G23" s="634"/>
      <c r="H23" s="634"/>
      <c r="I23" s="635"/>
      <c r="J23" s="411"/>
      <c r="K23" s="636" t="s">
        <v>46</v>
      </c>
      <c r="L23" s="608"/>
      <c r="M23" s="608"/>
      <c r="N23" s="608"/>
      <c r="O23" s="608"/>
      <c r="P23" s="608"/>
      <c r="Q23" s="637"/>
    </row>
    <row r="24" spans="1:44" ht="29" x14ac:dyDescent="0.35">
      <c r="A24" s="408" t="s">
        <v>297</v>
      </c>
      <c r="B24" s="418" t="s">
        <v>30</v>
      </c>
      <c r="C24" s="419" t="s">
        <v>31</v>
      </c>
      <c r="D24" s="419" t="s">
        <v>32</v>
      </c>
      <c r="E24" s="419" t="s">
        <v>33</v>
      </c>
      <c r="F24" s="419" t="s">
        <v>34</v>
      </c>
      <c r="G24" s="419" t="s">
        <v>35</v>
      </c>
      <c r="H24" s="419" t="s">
        <v>36</v>
      </c>
      <c r="I24" s="420" t="s">
        <v>37</v>
      </c>
      <c r="J24" s="412"/>
      <c r="K24" s="353"/>
      <c r="Q24" s="74"/>
    </row>
    <row r="25" spans="1:44" ht="14.5" x14ac:dyDescent="0.35">
      <c r="A25" s="424" t="s">
        <v>298</v>
      </c>
      <c r="B25" s="425">
        <v>0</v>
      </c>
      <c r="C25" s="426"/>
      <c r="D25" s="426"/>
      <c r="E25" s="426"/>
      <c r="F25" s="426"/>
      <c r="G25" s="426"/>
      <c r="H25" s="426"/>
      <c r="I25" s="427">
        <v>2</v>
      </c>
      <c r="J25" s="352"/>
      <c r="K25" s="632" t="s">
        <v>48</v>
      </c>
      <c r="L25" s="611"/>
      <c r="M25" s="611"/>
      <c r="N25" s="611"/>
      <c r="O25" s="611"/>
      <c r="P25" s="611"/>
      <c r="Q25" s="633"/>
    </row>
    <row r="26" spans="1:44" ht="72.5" x14ac:dyDescent="0.35">
      <c r="A26" s="405" t="s">
        <v>49</v>
      </c>
      <c r="B26" s="634" t="s">
        <v>50</v>
      </c>
      <c r="C26" s="634"/>
      <c r="D26" s="634"/>
      <c r="E26" s="634"/>
      <c r="F26" s="634"/>
      <c r="G26" s="634"/>
      <c r="H26" s="634"/>
      <c r="I26" s="635"/>
      <c r="J26" s="411"/>
      <c r="K26" s="636" t="s">
        <v>51</v>
      </c>
      <c r="L26" s="608"/>
      <c r="M26" s="608"/>
      <c r="N26" s="608"/>
      <c r="O26" s="608"/>
      <c r="P26" s="608"/>
      <c r="Q26" s="637"/>
    </row>
    <row r="27" spans="1:44" ht="30.75" customHeight="1" x14ac:dyDescent="0.35">
      <c r="A27" s="406" t="s">
        <v>297</v>
      </c>
      <c r="B27" s="115" t="s">
        <v>30</v>
      </c>
      <c r="C27" s="116" t="s">
        <v>31</v>
      </c>
      <c r="D27" s="116" t="s">
        <v>32</v>
      </c>
      <c r="E27" s="116" t="s">
        <v>33</v>
      </c>
      <c r="F27" s="116" t="s">
        <v>34</v>
      </c>
      <c r="G27" s="116" t="s">
        <v>35</v>
      </c>
      <c r="H27" s="116" t="s">
        <v>36</v>
      </c>
      <c r="I27" s="407" t="s">
        <v>37</v>
      </c>
      <c r="J27" s="412"/>
      <c r="K27" s="353"/>
      <c r="Q27" s="74"/>
    </row>
    <row r="28" spans="1:44" ht="14.5" x14ac:dyDescent="0.35">
      <c r="A28" s="408" t="s">
        <v>299</v>
      </c>
      <c r="B28" s="409">
        <v>0</v>
      </c>
      <c r="C28" s="410"/>
      <c r="D28" s="410"/>
      <c r="E28" s="410"/>
      <c r="F28" s="410"/>
      <c r="G28" s="410"/>
      <c r="H28" s="410"/>
      <c r="I28" s="423">
        <v>0.9</v>
      </c>
      <c r="J28" s="413"/>
      <c r="K28" s="632" t="s">
        <v>52</v>
      </c>
      <c r="L28" s="611"/>
      <c r="M28" s="611"/>
      <c r="N28" s="611"/>
      <c r="O28" s="611"/>
      <c r="P28" s="611"/>
      <c r="Q28" s="633"/>
    </row>
    <row r="29" spans="1:44" ht="14.5" x14ac:dyDescent="0.35">
      <c r="A29" s="3"/>
      <c r="B29" s="3"/>
      <c r="C29" s="1"/>
      <c r="D29" s="1"/>
      <c r="E29" s="1"/>
      <c r="F29" s="1"/>
      <c r="G29" s="1"/>
      <c r="H29" s="1"/>
      <c r="I29" s="1"/>
    </row>
    <row r="31" spans="1:44" ht="14.5" x14ac:dyDescent="0.35">
      <c r="C31" s="2"/>
      <c r="D31" s="2"/>
    </row>
    <row r="32" spans="1:44" thickBot="1" x14ac:dyDescent="0.4">
      <c r="A32" s="1"/>
      <c r="B32" s="1"/>
      <c r="C32" s="80"/>
      <c r="D32" s="80"/>
      <c r="E32" s="1"/>
      <c r="F32" s="1"/>
      <c r="G32" s="1"/>
      <c r="H32" s="1"/>
      <c r="I32" s="1"/>
      <c r="K32" s="1"/>
      <c r="L32" s="1"/>
      <c r="M32" s="1"/>
      <c r="N32" s="1"/>
      <c r="O32" s="1"/>
      <c r="P32" s="1"/>
      <c r="Q32" s="1"/>
      <c r="R32" s="1"/>
      <c r="S32" s="1"/>
      <c r="T32" s="1"/>
      <c r="U32" s="1"/>
      <c r="V32" s="626" t="s">
        <v>53</v>
      </c>
      <c r="W32" s="626"/>
      <c r="X32" s="626"/>
      <c r="Y32" s="627"/>
      <c r="Z32" s="627"/>
      <c r="AA32" s="627"/>
      <c r="AB32" s="627"/>
      <c r="AC32" s="627"/>
      <c r="AD32" s="627"/>
      <c r="AE32" s="627"/>
      <c r="AF32" s="627"/>
      <c r="AG32" s="627"/>
      <c r="AH32" s="627"/>
      <c r="AI32" s="627"/>
      <c r="AJ32" s="628"/>
      <c r="AK32" s="1"/>
      <c r="AL32" s="1"/>
      <c r="AM32" s="1"/>
      <c r="AN32" s="1"/>
      <c r="AO32" s="638" t="s">
        <v>53</v>
      </c>
      <c r="AP32" s="639"/>
      <c r="AQ32" s="640"/>
      <c r="AR32" s="1"/>
    </row>
    <row r="33" spans="1:48" ht="44" thickBot="1" x14ac:dyDescent="0.4">
      <c r="A33" s="23" t="s">
        <v>54</v>
      </c>
      <c r="B33" s="315" t="s">
        <v>55</v>
      </c>
      <c r="C33" s="315" t="s">
        <v>56</v>
      </c>
      <c r="D33" s="315" t="s">
        <v>57</v>
      </c>
      <c r="E33" s="315" t="s">
        <v>58</v>
      </c>
      <c r="F33" s="315" t="s">
        <v>300</v>
      </c>
      <c r="G33" s="315" t="s">
        <v>301</v>
      </c>
      <c r="H33" s="315" t="s">
        <v>61</v>
      </c>
      <c r="I33" s="315" t="s">
        <v>62</v>
      </c>
      <c r="J33" s="315" t="s">
        <v>302</v>
      </c>
      <c r="K33" s="316" t="s">
        <v>64</v>
      </c>
      <c r="L33" s="317" t="s">
        <v>65</v>
      </c>
      <c r="M33" s="315" t="s">
        <v>66</v>
      </c>
      <c r="N33" s="315" t="s">
        <v>67</v>
      </c>
      <c r="O33" s="315" t="s">
        <v>68</v>
      </c>
      <c r="P33" s="326" t="s">
        <v>69</v>
      </c>
      <c r="Q33" s="23">
        <v>2023</v>
      </c>
      <c r="R33" s="250">
        <v>2024</v>
      </c>
      <c r="S33" s="250">
        <v>2025</v>
      </c>
      <c r="T33" s="250">
        <v>2026</v>
      </c>
      <c r="U33" s="249">
        <v>2027</v>
      </c>
      <c r="V33" s="617" t="s">
        <v>303</v>
      </c>
      <c r="W33" s="617"/>
      <c r="X33" s="617"/>
      <c r="Y33" s="617">
        <v>2024</v>
      </c>
      <c r="Z33" s="615"/>
      <c r="AA33" s="616"/>
      <c r="AB33" s="617">
        <v>2025</v>
      </c>
      <c r="AC33" s="615"/>
      <c r="AD33" s="616"/>
      <c r="AE33" s="617">
        <v>2026</v>
      </c>
      <c r="AF33" s="615"/>
      <c r="AG33" s="616"/>
      <c r="AH33" s="617">
        <v>2027</v>
      </c>
      <c r="AI33" s="615"/>
      <c r="AJ33" s="615"/>
      <c r="AK33" s="21" t="s">
        <v>304</v>
      </c>
      <c r="AL33" s="22" t="s">
        <v>305</v>
      </c>
      <c r="AM33" s="22" t="s">
        <v>72</v>
      </c>
      <c r="AN33" s="21" t="s">
        <v>306</v>
      </c>
      <c r="AO33" s="617" t="s">
        <v>307</v>
      </c>
      <c r="AP33" s="641"/>
      <c r="AQ33" s="642"/>
      <c r="AR33" s="77" t="s">
        <v>308</v>
      </c>
    </row>
    <row r="34" spans="1:48" s="14" customFormat="1" ht="143.15" customHeight="1" thickBot="1" x14ac:dyDescent="0.4">
      <c r="A34" s="327" t="s">
        <v>75</v>
      </c>
      <c r="B34" s="387" t="s">
        <v>76</v>
      </c>
      <c r="C34" s="319" t="s">
        <v>77</v>
      </c>
      <c r="D34" s="319" t="s">
        <v>78</v>
      </c>
      <c r="E34" s="320" t="s">
        <v>79</v>
      </c>
      <c r="F34" s="320" t="s">
        <v>79</v>
      </c>
      <c r="G34" s="320" t="s">
        <v>80</v>
      </c>
      <c r="H34" s="319" t="s">
        <v>81</v>
      </c>
      <c r="I34" s="319" t="s">
        <v>82</v>
      </c>
      <c r="J34" s="319" t="s">
        <v>83</v>
      </c>
      <c r="K34" s="319" t="s">
        <v>309</v>
      </c>
      <c r="L34" s="321" t="s">
        <v>85</v>
      </c>
      <c r="M34" s="321" t="s">
        <v>86</v>
      </c>
      <c r="N34" s="322" t="s">
        <v>310</v>
      </c>
      <c r="O34" s="320" t="s">
        <v>79</v>
      </c>
      <c r="P34" s="323"/>
      <c r="Q34" s="629"/>
      <c r="R34" s="630"/>
      <c r="S34" s="630"/>
      <c r="T34" s="630"/>
      <c r="U34" s="631"/>
      <c r="V34" s="356" t="s">
        <v>88</v>
      </c>
      <c r="W34" s="357" t="s">
        <v>89</v>
      </c>
      <c r="X34" s="358" t="s">
        <v>90</v>
      </c>
      <c r="Y34" s="359" t="s">
        <v>88</v>
      </c>
      <c r="Z34" s="357" t="s">
        <v>89</v>
      </c>
      <c r="AA34" s="360" t="s">
        <v>90</v>
      </c>
      <c r="AB34" s="28" t="s">
        <v>88</v>
      </c>
      <c r="AC34" s="25" t="s">
        <v>89</v>
      </c>
      <c r="AD34" s="26" t="s">
        <v>90</v>
      </c>
      <c r="AE34" s="28" t="s">
        <v>88</v>
      </c>
      <c r="AF34" s="25" t="s">
        <v>89</v>
      </c>
      <c r="AG34" s="26" t="s">
        <v>90</v>
      </c>
      <c r="AH34" s="28" t="s">
        <v>88</v>
      </c>
      <c r="AI34" s="25" t="s">
        <v>89</v>
      </c>
      <c r="AJ34" s="27" t="s">
        <v>90</v>
      </c>
      <c r="AK34" s="328" t="s">
        <v>91</v>
      </c>
      <c r="AL34" s="329" t="s">
        <v>79</v>
      </c>
      <c r="AM34" s="341"/>
      <c r="AN34" s="331"/>
      <c r="AO34" s="28" t="s">
        <v>88</v>
      </c>
      <c r="AP34" s="25" t="s">
        <v>89</v>
      </c>
      <c r="AQ34" s="26" t="s">
        <v>90</v>
      </c>
      <c r="AR34" s="330" t="s">
        <v>311</v>
      </c>
      <c r="AV34" s="76"/>
    </row>
    <row r="35" spans="1:48" s="19" customFormat="1" ht="275.5" x14ac:dyDescent="0.35">
      <c r="A35" s="285" t="s">
        <v>2</v>
      </c>
      <c r="B35" s="285" t="s">
        <v>95</v>
      </c>
      <c r="C35" s="285"/>
      <c r="D35" s="286" t="s">
        <v>96</v>
      </c>
      <c r="E35" s="286" t="s">
        <v>97</v>
      </c>
      <c r="F35" s="286" t="s">
        <v>98</v>
      </c>
      <c r="G35" s="286" t="s">
        <v>99</v>
      </c>
      <c r="H35" s="286"/>
      <c r="I35" s="286" t="s">
        <v>100</v>
      </c>
      <c r="J35" s="286" t="s">
        <v>101</v>
      </c>
      <c r="K35" s="286" t="s">
        <v>102</v>
      </c>
      <c r="L35" s="286"/>
      <c r="M35" s="286"/>
      <c r="N35" s="286"/>
      <c r="O35" s="286" t="s">
        <v>104</v>
      </c>
      <c r="P35" s="269">
        <f t="shared" ref="P35:P66" si="1">SUM(Q35:U35)</f>
        <v>161779</v>
      </c>
      <c r="Q35" s="279">
        <f t="shared" ref="Q35:Q131" si="2">SUM(V35:X35)</f>
        <v>0</v>
      </c>
      <c r="R35" s="332">
        <f t="shared" ref="R35:R66" si="3">SUM(Y35:AA35)</f>
        <v>161779</v>
      </c>
      <c r="S35" s="332">
        <f t="shared" ref="S35:S66" si="4">SUM(AB35:AD35)</f>
        <v>0</v>
      </c>
      <c r="T35" s="332">
        <f t="shared" ref="T35:T66" si="5">SUM(AE35:AG35)</f>
        <v>0</v>
      </c>
      <c r="U35" s="354">
        <f t="shared" ref="U35:U66" si="6">SUM(AH35:AJ35)</f>
        <v>0</v>
      </c>
      <c r="V35" s="510"/>
      <c r="W35" s="332"/>
      <c r="X35" s="511"/>
      <c r="Y35" s="510">
        <v>88000</v>
      </c>
      <c r="Z35" s="332">
        <v>73779</v>
      </c>
      <c r="AA35" s="512"/>
      <c r="AB35" s="272"/>
      <c r="AC35" s="273"/>
      <c r="AD35" s="275"/>
      <c r="AE35" s="274"/>
      <c r="AF35" s="273"/>
      <c r="AG35" s="275"/>
      <c r="AH35" s="274"/>
      <c r="AI35" s="273"/>
      <c r="AJ35" s="273"/>
      <c r="AK35" s="276" t="s">
        <v>105</v>
      </c>
      <c r="AL35" s="277" t="s">
        <v>106</v>
      </c>
      <c r="AM35" s="287"/>
      <c r="AN35" s="344"/>
      <c r="AO35" s="335">
        <v>0</v>
      </c>
      <c r="AP35" s="260">
        <v>0</v>
      </c>
      <c r="AQ35" s="336">
        <v>0</v>
      </c>
      <c r="AR35" s="259" t="s">
        <v>312</v>
      </c>
    </row>
    <row r="36" spans="1:48" s="35" customFormat="1" ht="275.5" x14ac:dyDescent="0.35">
      <c r="A36" s="285" t="s">
        <v>2</v>
      </c>
      <c r="B36" s="285" t="s">
        <v>95</v>
      </c>
      <c r="C36" s="285"/>
      <c r="D36" s="286" t="s">
        <v>96</v>
      </c>
      <c r="E36" s="286" t="s">
        <v>97</v>
      </c>
      <c r="F36" s="286" t="s">
        <v>98</v>
      </c>
      <c r="G36" s="286" t="s">
        <v>99</v>
      </c>
      <c r="H36" s="286"/>
      <c r="I36" s="286" t="s">
        <v>100</v>
      </c>
      <c r="J36" s="286" t="s">
        <v>107</v>
      </c>
      <c r="K36" s="286" t="s">
        <v>108</v>
      </c>
      <c r="L36" s="286"/>
      <c r="M36" s="286"/>
      <c r="N36" s="286" t="s">
        <v>109</v>
      </c>
      <c r="O36" s="286" t="s">
        <v>104</v>
      </c>
      <c r="P36" s="269">
        <f t="shared" si="1"/>
        <v>689127</v>
      </c>
      <c r="Q36" s="270">
        <f t="shared" si="2"/>
        <v>0</v>
      </c>
      <c r="R36" s="271">
        <f t="shared" si="3"/>
        <v>689127</v>
      </c>
      <c r="S36" s="271">
        <f t="shared" si="4"/>
        <v>0</v>
      </c>
      <c r="T36" s="271">
        <f t="shared" si="5"/>
        <v>0</v>
      </c>
      <c r="U36" s="272">
        <f t="shared" si="6"/>
        <v>0</v>
      </c>
      <c r="V36" s="362"/>
      <c r="W36" s="361"/>
      <c r="X36" s="291"/>
      <c r="Y36" s="362">
        <v>590850</v>
      </c>
      <c r="Z36" s="361">
        <v>98277</v>
      </c>
      <c r="AA36" s="293"/>
      <c r="AB36" s="272"/>
      <c r="AC36" s="273"/>
      <c r="AD36" s="275"/>
      <c r="AE36" s="274"/>
      <c r="AF36" s="273"/>
      <c r="AG36" s="275"/>
      <c r="AH36" s="274"/>
      <c r="AI36" s="273"/>
      <c r="AJ36" s="273"/>
      <c r="AK36" s="276" t="s">
        <v>105</v>
      </c>
      <c r="AL36" s="277" t="s">
        <v>136</v>
      </c>
      <c r="AM36" s="287"/>
      <c r="AN36" s="344"/>
      <c r="AO36" s="335">
        <v>0</v>
      </c>
      <c r="AP36" s="260">
        <v>0</v>
      </c>
      <c r="AQ36" s="336">
        <v>0</v>
      </c>
      <c r="AR36" s="259" t="s">
        <v>313</v>
      </c>
    </row>
    <row r="37" spans="1:48" s="35" customFormat="1" ht="116" x14ac:dyDescent="0.35">
      <c r="A37" s="285" t="s">
        <v>2</v>
      </c>
      <c r="B37" s="285" t="s">
        <v>95</v>
      </c>
      <c r="C37" s="285"/>
      <c r="D37" s="286" t="s">
        <v>111</v>
      </c>
      <c r="E37" s="286" t="s">
        <v>97</v>
      </c>
      <c r="F37" s="286" t="s">
        <v>112</v>
      </c>
      <c r="G37" s="286" t="s">
        <v>99</v>
      </c>
      <c r="H37" s="286"/>
      <c r="I37" s="286" t="s">
        <v>113</v>
      </c>
      <c r="J37" s="286" t="s">
        <v>114</v>
      </c>
      <c r="K37" s="286" t="s">
        <v>108</v>
      </c>
      <c r="L37" s="286"/>
      <c r="M37" s="286"/>
      <c r="N37" s="286"/>
      <c r="O37" s="286" t="s">
        <v>104</v>
      </c>
      <c r="P37" s="269">
        <f t="shared" si="1"/>
        <v>479149</v>
      </c>
      <c r="Q37" s="270">
        <f t="shared" si="2"/>
        <v>0</v>
      </c>
      <c r="R37" s="271">
        <f t="shared" si="3"/>
        <v>374383</v>
      </c>
      <c r="S37" s="271">
        <f t="shared" si="4"/>
        <v>70766</v>
      </c>
      <c r="T37" s="271">
        <f t="shared" si="5"/>
        <v>34000</v>
      </c>
      <c r="U37" s="272">
        <f t="shared" si="6"/>
        <v>0</v>
      </c>
      <c r="V37" s="362"/>
      <c r="W37" s="361"/>
      <c r="X37" s="291"/>
      <c r="Y37" s="362">
        <v>294500</v>
      </c>
      <c r="Z37" s="361">
        <v>79883</v>
      </c>
      <c r="AA37" s="293">
        <v>0</v>
      </c>
      <c r="AB37" s="272">
        <v>55200</v>
      </c>
      <c r="AC37" s="273">
        <v>15566</v>
      </c>
      <c r="AD37" s="275">
        <v>0</v>
      </c>
      <c r="AE37" s="274">
        <v>0</v>
      </c>
      <c r="AF37" s="273">
        <v>0</v>
      </c>
      <c r="AG37" s="275">
        <v>34000</v>
      </c>
      <c r="AH37" s="274">
        <v>0</v>
      </c>
      <c r="AI37" s="273">
        <v>0</v>
      </c>
      <c r="AJ37" s="273">
        <v>0</v>
      </c>
      <c r="AK37" s="276" t="s">
        <v>116</v>
      </c>
      <c r="AL37" s="277" t="s">
        <v>314</v>
      </c>
      <c r="AM37" s="287"/>
      <c r="AN37" s="344"/>
      <c r="AO37" s="335">
        <v>0</v>
      </c>
      <c r="AP37" s="260">
        <v>0</v>
      </c>
      <c r="AQ37" s="336">
        <v>0</v>
      </c>
      <c r="AR37" s="259" t="s">
        <v>315</v>
      </c>
    </row>
    <row r="38" spans="1:48" s="35" customFormat="1" ht="87" x14ac:dyDescent="0.35">
      <c r="A38" s="285" t="s">
        <v>2</v>
      </c>
      <c r="B38" s="285" t="s">
        <v>118</v>
      </c>
      <c r="C38" s="285"/>
      <c r="D38" s="286" t="s">
        <v>119</v>
      </c>
      <c r="E38" s="286" t="s">
        <v>97</v>
      </c>
      <c r="F38" s="286" t="s">
        <v>120</v>
      </c>
      <c r="G38" s="286" t="s">
        <v>121</v>
      </c>
      <c r="H38" s="286"/>
      <c r="I38" s="286" t="s">
        <v>122</v>
      </c>
      <c r="J38" s="286" t="s">
        <v>123</v>
      </c>
      <c r="K38" s="286" t="s">
        <v>124</v>
      </c>
      <c r="L38" s="286"/>
      <c r="M38" s="286"/>
      <c r="N38" s="286"/>
      <c r="O38" s="286" t="s">
        <v>104</v>
      </c>
      <c r="P38" s="269">
        <f t="shared" si="1"/>
        <v>176364</v>
      </c>
      <c r="Q38" s="270">
        <f t="shared" si="2"/>
        <v>20137</v>
      </c>
      <c r="R38" s="271">
        <f t="shared" si="3"/>
        <v>36246</v>
      </c>
      <c r="S38" s="271">
        <f t="shared" si="4"/>
        <v>38059</v>
      </c>
      <c r="T38" s="271">
        <f t="shared" si="5"/>
        <v>39962</v>
      </c>
      <c r="U38" s="272">
        <f t="shared" si="6"/>
        <v>41960</v>
      </c>
      <c r="V38" s="362"/>
      <c r="W38" s="361">
        <v>20137</v>
      </c>
      <c r="X38" s="291"/>
      <c r="Y38" s="362"/>
      <c r="Z38" s="361">
        <v>36246</v>
      </c>
      <c r="AA38" s="293"/>
      <c r="AB38" s="272"/>
      <c r="AC38" s="273">
        <v>38059</v>
      </c>
      <c r="AD38" s="275"/>
      <c r="AE38" s="274"/>
      <c r="AF38" s="273">
        <v>39962</v>
      </c>
      <c r="AG38" s="275"/>
      <c r="AH38" s="274"/>
      <c r="AI38" s="273">
        <v>41960</v>
      </c>
      <c r="AJ38" s="273"/>
      <c r="AK38" s="287" t="s">
        <v>125</v>
      </c>
      <c r="AL38" s="277" t="s">
        <v>106</v>
      </c>
      <c r="AM38" s="287"/>
      <c r="AN38" s="344"/>
      <c r="AO38" s="335">
        <v>0</v>
      </c>
      <c r="AP38" s="335">
        <v>9323.42</v>
      </c>
      <c r="AQ38" s="336">
        <v>0</v>
      </c>
      <c r="AR38" s="259" t="s">
        <v>316</v>
      </c>
    </row>
    <row r="39" spans="1:48" s="35" customFormat="1" ht="72.5" x14ac:dyDescent="0.35">
      <c r="A39" s="285" t="s">
        <v>2</v>
      </c>
      <c r="B39" s="285" t="s">
        <v>95</v>
      </c>
      <c r="C39" s="285"/>
      <c r="D39" s="286" t="s">
        <v>129</v>
      </c>
      <c r="E39" s="286" t="s">
        <v>97</v>
      </c>
      <c r="F39" s="286" t="s">
        <v>120</v>
      </c>
      <c r="G39" s="286" t="s">
        <v>121</v>
      </c>
      <c r="H39" s="286"/>
      <c r="I39" s="286" t="s">
        <v>317</v>
      </c>
      <c r="J39" s="286" t="s">
        <v>131</v>
      </c>
      <c r="K39" s="286" t="s">
        <v>318</v>
      </c>
      <c r="L39" s="286"/>
      <c r="M39" s="286"/>
      <c r="N39" s="286"/>
      <c r="O39" s="286" t="s">
        <v>104</v>
      </c>
      <c r="P39" s="269">
        <f t="shared" si="1"/>
        <v>240000</v>
      </c>
      <c r="Q39" s="270">
        <f t="shared" si="2"/>
        <v>40000</v>
      </c>
      <c r="R39" s="271">
        <f t="shared" si="3"/>
        <v>50000</v>
      </c>
      <c r="S39" s="271">
        <f t="shared" si="4"/>
        <v>50000</v>
      </c>
      <c r="T39" s="271">
        <f t="shared" si="5"/>
        <v>50000</v>
      </c>
      <c r="U39" s="272">
        <f t="shared" si="6"/>
        <v>50000</v>
      </c>
      <c r="V39" s="362"/>
      <c r="W39" s="361"/>
      <c r="X39" s="291">
        <v>40000</v>
      </c>
      <c r="Y39" s="362"/>
      <c r="Z39" s="361"/>
      <c r="AA39" s="293">
        <v>50000</v>
      </c>
      <c r="AB39" s="272"/>
      <c r="AC39" s="273"/>
      <c r="AD39" s="275">
        <v>50000</v>
      </c>
      <c r="AE39" s="274"/>
      <c r="AF39" s="273"/>
      <c r="AG39" s="275">
        <v>50000</v>
      </c>
      <c r="AH39" s="274"/>
      <c r="AI39" s="273"/>
      <c r="AJ39" s="273">
        <v>50000</v>
      </c>
      <c r="AK39" s="276"/>
      <c r="AL39" s="277" t="s">
        <v>106</v>
      </c>
      <c r="AM39" s="287"/>
      <c r="AN39" s="344"/>
      <c r="AO39" s="335">
        <v>0</v>
      </c>
      <c r="AP39" s="260">
        <v>0</v>
      </c>
      <c r="AQ39" s="336">
        <v>0</v>
      </c>
      <c r="AR39" s="259" t="s">
        <v>319</v>
      </c>
    </row>
    <row r="40" spans="1:48" s="19" customFormat="1" ht="116" x14ac:dyDescent="0.35">
      <c r="A40" s="285" t="s">
        <v>2</v>
      </c>
      <c r="B40" s="285" t="s">
        <v>95</v>
      </c>
      <c r="C40" s="285"/>
      <c r="D40" s="286" t="s">
        <v>320</v>
      </c>
      <c r="E40" s="286" t="s">
        <v>97</v>
      </c>
      <c r="F40" s="286" t="s">
        <v>112</v>
      </c>
      <c r="G40" s="286" t="s">
        <v>99</v>
      </c>
      <c r="H40" s="286"/>
      <c r="I40" s="286" t="s">
        <v>321</v>
      </c>
      <c r="J40" s="286" t="s">
        <v>322</v>
      </c>
      <c r="K40" s="286" t="s">
        <v>323</v>
      </c>
      <c r="L40" s="286"/>
      <c r="M40" s="286"/>
      <c r="N40" s="286"/>
      <c r="O40" s="286" t="s">
        <v>279</v>
      </c>
      <c r="P40" s="269">
        <f t="shared" si="1"/>
        <v>295160</v>
      </c>
      <c r="Q40" s="270">
        <f t="shared" si="2"/>
        <v>295160</v>
      </c>
      <c r="R40" s="271">
        <f t="shared" si="3"/>
        <v>0</v>
      </c>
      <c r="S40" s="271">
        <f t="shared" si="4"/>
        <v>0</v>
      </c>
      <c r="T40" s="271">
        <f t="shared" si="5"/>
        <v>0</v>
      </c>
      <c r="U40" s="272">
        <f t="shared" si="6"/>
        <v>0</v>
      </c>
      <c r="V40" s="362">
        <v>295160</v>
      </c>
      <c r="W40" s="361"/>
      <c r="X40" s="291"/>
      <c r="Y40" s="362"/>
      <c r="Z40" s="361"/>
      <c r="AA40" s="293"/>
      <c r="AB40" s="272"/>
      <c r="AC40" s="273"/>
      <c r="AD40" s="275"/>
      <c r="AE40" s="274"/>
      <c r="AF40" s="273"/>
      <c r="AG40" s="275"/>
      <c r="AH40" s="274"/>
      <c r="AI40" s="273"/>
      <c r="AJ40" s="273"/>
      <c r="AK40" s="276"/>
      <c r="AL40" s="277" t="s">
        <v>106</v>
      </c>
      <c r="AM40" s="287"/>
      <c r="AN40" s="344"/>
      <c r="AO40" s="335">
        <v>271827</v>
      </c>
      <c r="AP40" s="260">
        <v>0</v>
      </c>
      <c r="AQ40" s="336">
        <v>0</v>
      </c>
      <c r="AR40" s="259" t="s">
        <v>324</v>
      </c>
    </row>
    <row r="41" spans="1:48" s="35" customFormat="1" ht="159.5" x14ac:dyDescent="0.35">
      <c r="A41" s="303" t="s">
        <v>2</v>
      </c>
      <c r="B41" s="285" t="s">
        <v>95</v>
      </c>
      <c r="C41" s="285"/>
      <c r="D41" s="286" t="s">
        <v>325</v>
      </c>
      <c r="E41" s="286" t="s">
        <v>97</v>
      </c>
      <c r="F41" s="286" t="s">
        <v>112</v>
      </c>
      <c r="G41" s="286" t="s">
        <v>99</v>
      </c>
      <c r="H41" s="286"/>
      <c r="I41" s="286" t="s">
        <v>326</v>
      </c>
      <c r="J41" s="286" t="s">
        <v>327</v>
      </c>
      <c r="K41" s="286" t="s">
        <v>328</v>
      </c>
      <c r="L41" s="286"/>
      <c r="M41" s="286"/>
      <c r="N41" s="286"/>
      <c r="O41" s="286" t="s">
        <v>135</v>
      </c>
      <c r="P41" s="269">
        <f t="shared" si="1"/>
        <v>650397</v>
      </c>
      <c r="Q41" s="270">
        <f t="shared" si="2"/>
        <v>650397</v>
      </c>
      <c r="R41" s="271">
        <f t="shared" si="3"/>
        <v>0</v>
      </c>
      <c r="S41" s="271">
        <f t="shared" si="4"/>
        <v>0</v>
      </c>
      <c r="T41" s="271">
        <f t="shared" si="5"/>
        <v>0</v>
      </c>
      <c r="U41" s="272">
        <f t="shared" si="6"/>
        <v>0</v>
      </c>
      <c r="V41" s="362">
        <v>500000</v>
      </c>
      <c r="W41" s="361">
        <v>130780</v>
      </c>
      <c r="X41" s="291">
        <v>19617</v>
      </c>
      <c r="Y41" s="362"/>
      <c r="Z41" s="361"/>
      <c r="AA41" s="293"/>
      <c r="AB41" s="272"/>
      <c r="AC41" s="273"/>
      <c r="AD41" s="275"/>
      <c r="AE41" s="274"/>
      <c r="AF41" s="273"/>
      <c r="AG41" s="275"/>
      <c r="AH41" s="274"/>
      <c r="AI41" s="273"/>
      <c r="AJ41" s="273"/>
      <c r="AK41" s="276"/>
      <c r="AL41" s="277" t="s">
        <v>136</v>
      </c>
      <c r="AM41" s="287"/>
      <c r="AN41" s="344"/>
      <c r="AO41" s="335">
        <v>288950</v>
      </c>
      <c r="AP41" s="260">
        <v>0</v>
      </c>
      <c r="AQ41" s="336">
        <v>0</v>
      </c>
      <c r="AR41" s="259" t="s">
        <v>324</v>
      </c>
    </row>
    <row r="42" spans="1:48" s="35" customFormat="1" ht="159.5" x14ac:dyDescent="0.35">
      <c r="A42" s="303" t="s">
        <v>2</v>
      </c>
      <c r="B42" s="285" t="s">
        <v>95</v>
      </c>
      <c r="C42" s="285"/>
      <c r="D42" s="286" t="s">
        <v>325</v>
      </c>
      <c r="E42" s="286" t="s">
        <v>247</v>
      </c>
      <c r="F42" s="286" t="s">
        <v>280</v>
      </c>
      <c r="G42" s="286" t="s">
        <v>99</v>
      </c>
      <c r="H42" s="286"/>
      <c r="I42" s="286" t="s">
        <v>326</v>
      </c>
      <c r="J42" s="286" t="s">
        <v>329</v>
      </c>
      <c r="K42" s="286" t="s">
        <v>330</v>
      </c>
      <c r="L42" s="286"/>
      <c r="M42" s="286"/>
      <c r="N42" s="286"/>
      <c r="O42" s="286" t="s">
        <v>135</v>
      </c>
      <c r="P42" s="269">
        <f t="shared" si="1"/>
        <v>20000</v>
      </c>
      <c r="Q42" s="270">
        <f t="shared" si="2"/>
        <v>20000</v>
      </c>
      <c r="R42" s="271">
        <f t="shared" si="3"/>
        <v>0</v>
      </c>
      <c r="S42" s="271">
        <f t="shared" si="4"/>
        <v>0</v>
      </c>
      <c r="T42" s="271">
        <f t="shared" si="5"/>
        <v>0</v>
      </c>
      <c r="U42" s="272">
        <f t="shared" si="6"/>
        <v>0</v>
      </c>
      <c r="V42" s="362">
        <v>20000</v>
      </c>
      <c r="W42" s="361"/>
      <c r="X42" s="291"/>
      <c r="Y42" s="362"/>
      <c r="Z42" s="361"/>
      <c r="AA42" s="293"/>
      <c r="AB42" s="272"/>
      <c r="AC42" s="273"/>
      <c r="AD42" s="275"/>
      <c r="AE42" s="274"/>
      <c r="AF42" s="273"/>
      <c r="AG42" s="275"/>
      <c r="AH42" s="274"/>
      <c r="AI42" s="273"/>
      <c r="AJ42" s="273"/>
      <c r="AK42" s="276"/>
      <c r="AL42" s="277" t="s">
        <v>106</v>
      </c>
      <c r="AM42" s="287"/>
      <c r="AN42" s="344"/>
      <c r="AO42" s="335">
        <v>0</v>
      </c>
      <c r="AP42" s="260">
        <v>0</v>
      </c>
      <c r="AQ42" s="336">
        <v>0</v>
      </c>
      <c r="AR42" s="259" t="s">
        <v>331</v>
      </c>
    </row>
    <row r="43" spans="1:48" s="35" customFormat="1" ht="72.5" x14ac:dyDescent="0.35">
      <c r="A43" s="303" t="s">
        <v>2</v>
      </c>
      <c r="B43" s="285" t="s">
        <v>95</v>
      </c>
      <c r="C43" s="285"/>
      <c r="D43" s="286"/>
      <c r="E43" s="286" t="s">
        <v>97</v>
      </c>
      <c r="F43" s="286" t="s">
        <v>280</v>
      </c>
      <c r="G43" s="286" t="s">
        <v>99</v>
      </c>
      <c r="H43" s="286"/>
      <c r="I43" s="286" t="s">
        <v>332</v>
      </c>
      <c r="J43" s="286" t="s">
        <v>333</v>
      </c>
      <c r="K43" s="286" t="s">
        <v>334</v>
      </c>
      <c r="L43" s="286"/>
      <c r="M43" s="286"/>
      <c r="N43" s="286"/>
      <c r="O43" s="286" t="s">
        <v>135</v>
      </c>
      <c r="P43" s="269">
        <f t="shared" si="1"/>
        <v>400000</v>
      </c>
      <c r="Q43" s="270">
        <f t="shared" si="2"/>
        <v>400000</v>
      </c>
      <c r="R43" s="271">
        <f t="shared" si="3"/>
        <v>0</v>
      </c>
      <c r="S43" s="271">
        <f t="shared" si="4"/>
        <v>0</v>
      </c>
      <c r="T43" s="271">
        <f t="shared" si="5"/>
        <v>0</v>
      </c>
      <c r="U43" s="272">
        <f t="shared" si="6"/>
        <v>0</v>
      </c>
      <c r="V43" s="362">
        <v>400000</v>
      </c>
      <c r="W43" s="361"/>
      <c r="X43" s="291"/>
      <c r="Y43" s="362"/>
      <c r="Z43" s="361"/>
      <c r="AA43" s="293"/>
      <c r="AB43" s="272"/>
      <c r="AC43" s="273"/>
      <c r="AD43" s="275"/>
      <c r="AE43" s="274"/>
      <c r="AF43" s="273"/>
      <c r="AG43" s="275"/>
      <c r="AH43" s="274"/>
      <c r="AI43" s="273"/>
      <c r="AJ43" s="273"/>
      <c r="AK43" s="276"/>
      <c r="AL43" s="277" t="s">
        <v>106</v>
      </c>
      <c r="AM43" s="287"/>
      <c r="AN43" s="344"/>
      <c r="AO43" s="335">
        <v>225825</v>
      </c>
      <c r="AP43" s="260">
        <v>0</v>
      </c>
      <c r="AQ43" s="336">
        <v>0</v>
      </c>
      <c r="AR43" s="259" t="s">
        <v>335</v>
      </c>
    </row>
    <row r="44" spans="1:48" s="35" customFormat="1" ht="72.5" x14ac:dyDescent="0.35">
      <c r="A44" s="303" t="s">
        <v>2</v>
      </c>
      <c r="B44" s="285" t="s">
        <v>95</v>
      </c>
      <c r="C44" s="285"/>
      <c r="D44" s="286" t="s">
        <v>336</v>
      </c>
      <c r="E44" s="286" t="s">
        <v>97</v>
      </c>
      <c r="F44" s="286" t="s">
        <v>112</v>
      </c>
      <c r="G44" s="286" t="s">
        <v>99</v>
      </c>
      <c r="H44" s="286"/>
      <c r="I44" s="286"/>
      <c r="J44" s="286" t="s">
        <v>337</v>
      </c>
      <c r="K44" s="286" t="s">
        <v>338</v>
      </c>
      <c r="L44" s="286"/>
      <c r="M44" s="286"/>
      <c r="N44" s="286"/>
      <c r="O44" s="286" t="s">
        <v>135</v>
      </c>
      <c r="P44" s="269">
        <f t="shared" si="1"/>
        <v>30000</v>
      </c>
      <c r="Q44" s="270">
        <f t="shared" si="2"/>
        <v>30000</v>
      </c>
      <c r="R44" s="271">
        <f t="shared" si="3"/>
        <v>0</v>
      </c>
      <c r="S44" s="271">
        <f t="shared" si="4"/>
        <v>0</v>
      </c>
      <c r="T44" s="271">
        <f t="shared" si="5"/>
        <v>0</v>
      </c>
      <c r="U44" s="272">
        <f t="shared" si="6"/>
        <v>0</v>
      </c>
      <c r="V44" s="362">
        <v>30000</v>
      </c>
      <c r="W44" s="361"/>
      <c r="X44" s="291"/>
      <c r="Y44" s="362"/>
      <c r="Z44" s="361"/>
      <c r="AA44" s="293"/>
      <c r="AB44" s="272"/>
      <c r="AC44" s="273"/>
      <c r="AD44" s="275"/>
      <c r="AE44" s="274"/>
      <c r="AF44" s="273"/>
      <c r="AG44" s="275"/>
      <c r="AH44" s="274"/>
      <c r="AI44" s="273"/>
      <c r="AJ44" s="273"/>
      <c r="AK44" s="276"/>
      <c r="AL44" s="277" t="s">
        <v>106</v>
      </c>
      <c r="AM44" s="287"/>
      <c r="AN44" s="344"/>
      <c r="AO44" s="335">
        <v>0</v>
      </c>
      <c r="AP44" s="260">
        <v>0</v>
      </c>
      <c r="AQ44" s="336">
        <v>2700</v>
      </c>
      <c r="AR44" s="259" t="s">
        <v>339</v>
      </c>
    </row>
    <row r="45" spans="1:48" s="35" customFormat="1" ht="72.5" x14ac:dyDescent="0.35">
      <c r="A45" s="303" t="s">
        <v>2</v>
      </c>
      <c r="B45" s="285" t="s">
        <v>95</v>
      </c>
      <c r="C45" s="285"/>
      <c r="D45" s="286" t="s">
        <v>340</v>
      </c>
      <c r="E45" s="286" t="s">
        <v>97</v>
      </c>
      <c r="F45" s="286" t="s">
        <v>112</v>
      </c>
      <c r="G45" s="286" t="s">
        <v>99</v>
      </c>
      <c r="H45" s="286"/>
      <c r="I45" s="286"/>
      <c r="J45" s="286" t="s">
        <v>341</v>
      </c>
      <c r="K45" s="286" t="s">
        <v>338</v>
      </c>
      <c r="L45" s="286"/>
      <c r="M45" s="286"/>
      <c r="N45" s="286"/>
      <c r="O45" s="286" t="s">
        <v>135</v>
      </c>
      <c r="P45" s="269">
        <f t="shared" si="1"/>
        <v>37500</v>
      </c>
      <c r="Q45" s="270">
        <f t="shared" si="2"/>
        <v>37500</v>
      </c>
      <c r="R45" s="271">
        <f t="shared" si="3"/>
        <v>0</v>
      </c>
      <c r="S45" s="271">
        <f t="shared" si="4"/>
        <v>0</v>
      </c>
      <c r="T45" s="271">
        <f t="shared" si="5"/>
        <v>0</v>
      </c>
      <c r="U45" s="272">
        <f t="shared" si="6"/>
        <v>0</v>
      </c>
      <c r="V45" s="362">
        <v>37500</v>
      </c>
      <c r="W45" s="361"/>
      <c r="X45" s="291"/>
      <c r="Y45" s="362"/>
      <c r="Z45" s="361"/>
      <c r="AA45" s="293"/>
      <c r="AB45" s="272"/>
      <c r="AC45" s="273"/>
      <c r="AD45" s="275"/>
      <c r="AE45" s="274"/>
      <c r="AF45" s="273"/>
      <c r="AG45" s="275"/>
      <c r="AH45" s="274"/>
      <c r="AI45" s="273"/>
      <c r="AJ45" s="273"/>
      <c r="AK45" s="276"/>
      <c r="AL45" s="277" t="s">
        <v>106</v>
      </c>
      <c r="AM45" s="287"/>
      <c r="AN45" s="344"/>
      <c r="AO45" s="335">
        <v>37500</v>
      </c>
      <c r="AP45" s="260">
        <v>0</v>
      </c>
      <c r="AQ45" s="336">
        <v>0</v>
      </c>
      <c r="AR45" s="259" t="s">
        <v>342</v>
      </c>
    </row>
    <row r="46" spans="1:48" s="19" customFormat="1" ht="72.5" x14ac:dyDescent="0.35">
      <c r="A46" s="303" t="s">
        <v>343</v>
      </c>
      <c r="B46" s="285" t="s">
        <v>95</v>
      </c>
      <c r="C46" s="285"/>
      <c r="D46" s="286" t="s">
        <v>344</v>
      </c>
      <c r="E46" s="286" t="s">
        <v>97</v>
      </c>
      <c r="F46" s="286" t="s">
        <v>112</v>
      </c>
      <c r="G46" s="286" t="s">
        <v>99</v>
      </c>
      <c r="H46" s="286"/>
      <c r="I46" s="286"/>
      <c r="J46" s="286" t="s">
        <v>345</v>
      </c>
      <c r="K46" s="286" t="s">
        <v>338</v>
      </c>
      <c r="L46" s="286"/>
      <c r="M46" s="286"/>
      <c r="N46" s="286"/>
      <c r="O46" s="286" t="s">
        <v>135</v>
      </c>
      <c r="P46" s="269">
        <f t="shared" si="1"/>
        <v>30000</v>
      </c>
      <c r="Q46" s="270">
        <f t="shared" si="2"/>
        <v>30000</v>
      </c>
      <c r="R46" s="271">
        <f t="shared" si="3"/>
        <v>0</v>
      </c>
      <c r="S46" s="271">
        <f t="shared" si="4"/>
        <v>0</v>
      </c>
      <c r="T46" s="271">
        <f t="shared" si="5"/>
        <v>0</v>
      </c>
      <c r="U46" s="272">
        <f t="shared" si="6"/>
        <v>0</v>
      </c>
      <c r="V46" s="362">
        <v>30000</v>
      </c>
      <c r="W46" s="361"/>
      <c r="X46" s="291"/>
      <c r="Y46" s="362"/>
      <c r="Z46" s="361"/>
      <c r="AA46" s="293"/>
      <c r="AB46" s="272"/>
      <c r="AC46" s="273"/>
      <c r="AD46" s="275"/>
      <c r="AE46" s="274"/>
      <c r="AF46" s="273"/>
      <c r="AG46" s="275"/>
      <c r="AH46" s="274"/>
      <c r="AI46" s="273"/>
      <c r="AJ46" s="273"/>
      <c r="AK46" s="276"/>
      <c r="AL46" s="277" t="s">
        <v>106</v>
      </c>
      <c r="AM46" s="287"/>
      <c r="AN46" s="344"/>
      <c r="AO46" s="335">
        <v>29888</v>
      </c>
      <c r="AP46" s="260">
        <v>0</v>
      </c>
      <c r="AQ46" s="336">
        <v>0</v>
      </c>
      <c r="AR46" s="259" t="s">
        <v>346</v>
      </c>
    </row>
    <row r="47" spans="1:48" s="19" customFormat="1" ht="72.5" x14ac:dyDescent="0.35">
      <c r="A47" s="303" t="s">
        <v>343</v>
      </c>
      <c r="B47" s="285" t="s">
        <v>95</v>
      </c>
      <c r="C47" s="285"/>
      <c r="D47" s="286" t="s">
        <v>347</v>
      </c>
      <c r="E47" s="286" t="s">
        <v>97</v>
      </c>
      <c r="F47" s="286" t="s">
        <v>112</v>
      </c>
      <c r="G47" s="286" t="s">
        <v>99</v>
      </c>
      <c r="H47" s="286"/>
      <c r="I47" s="286"/>
      <c r="J47" s="286" t="s">
        <v>348</v>
      </c>
      <c r="K47" s="286" t="s">
        <v>349</v>
      </c>
      <c r="L47" s="286"/>
      <c r="M47" s="286"/>
      <c r="N47" s="286"/>
      <c r="O47" s="286" t="s">
        <v>135</v>
      </c>
      <c r="P47" s="269">
        <f t="shared" si="1"/>
        <v>600000</v>
      </c>
      <c r="Q47" s="270">
        <f t="shared" si="2"/>
        <v>100000</v>
      </c>
      <c r="R47" s="271">
        <f t="shared" si="3"/>
        <v>300000</v>
      </c>
      <c r="S47" s="271">
        <f t="shared" si="4"/>
        <v>200000</v>
      </c>
      <c r="T47" s="271">
        <f t="shared" si="5"/>
        <v>0</v>
      </c>
      <c r="U47" s="272">
        <f t="shared" si="6"/>
        <v>0</v>
      </c>
      <c r="V47" s="362">
        <v>100000</v>
      </c>
      <c r="W47" s="361"/>
      <c r="X47" s="291"/>
      <c r="Y47" s="362">
        <v>300000</v>
      </c>
      <c r="Z47" s="361"/>
      <c r="AA47" s="293"/>
      <c r="AB47" s="272">
        <v>200000</v>
      </c>
      <c r="AC47" s="273"/>
      <c r="AD47" s="275"/>
      <c r="AE47" s="274"/>
      <c r="AF47" s="273"/>
      <c r="AG47" s="275"/>
      <c r="AH47" s="274"/>
      <c r="AI47" s="273"/>
      <c r="AJ47" s="273"/>
      <c r="AK47" s="276"/>
      <c r="AL47" s="277" t="s">
        <v>136</v>
      </c>
      <c r="AM47" s="287"/>
      <c r="AN47" s="344"/>
      <c r="AO47" s="335">
        <v>36351</v>
      </c>
      <c r="AP47" s="260">
        <v>0</v>
      </c>
      <c r="AQ47" s="336">
        <v>0</v>
      </c>
      <c r="AR47" s="259" t="s">
        <v>350</v>
      </c>
    </row>
    <row r="48" spans="1:48" s="35" customFormat="1" ht="72.5" x14ac:dyDescent="0.35">
      <c r="A48" s="303" t="s">
        <v>343</v>
      </c>
      <c r="B48" s="285" t="s">
        <v>95</v>
      </c>
      <c r="C48" s="285"/>
      <c r="D48" s="286" t="s">
        <v>347</v>
      </c>
      <c r="E48" s="286" t="s">
        <v>97</v>
      </c>
      <c r="F48" s="286" t="s">
        <v>112</v>
      </c>
      <c r="G48" s="286" t="s">
        <v>99</v>
      </c>
      <c r="H48" s="286"/>
      <c r="I48" s="286"/>
      <c r="J48" s="286" t="s">
        <v>351</v>
      </c>
      <c r="K48" s="286" t="s">
        <v>349</v>
      </c>
      <c r="L48" s="286"/>
      <c r="M48" s="286"/>
      <c r="N48" s="286"/>
      <c r="O48" s="286" t="s">
        <v>135</v>
      </c>
      <c r="P48" s="269">
        <f t="shared" si="1"/>
        <v>600000</v>
      </c>
      <c r="Q48" s="270">
        <f t="shared" si="2"/>
        <v>100000</v>
      </c>
      <c r="R48" s="271">
        <f t="shared" si="3"/>
        <v>300000</v>
      </c>
      <c r="S48" s="271">
        <f t="shared" si="4"/>
        <v>200000</v>
      </c>
      <c r="T48" s="271">
        <f t="shared" si="5"/>
        <v>0</v>
      </c>
      <c r="U48" s="272">
        <f t="shared" si="6"/>
        <v>0</v>
      </c>
      <c r="V48" s="362">
        <v>100000</v>
      </c>
      <c r="W48" s="361"/>
      <c r="X48" s="291"/>
      <c r="Y48" s="362">
        <v>300000</v>
      </c>
      <c r="Z48" s="361"/>
      <c r="AA48" s="293"/>
      <c r="AB48" s="272">
        <v>200000</v>
      </c>
      <c r="AC48" s="273"/>
      <c r="AD48" s="275"/>
      <c r="AE48" s="274"/>
      <c r="AF48" s="273"/>
      <c r="AG48" s="275"/>
      <c r="AH48" s="274"/>
      <c r="AI48" s="273"/>
      <c r="AJ48" s="273"/>
      <c r="AK48" s="276"/>
      <c r="AL48" s="277" t="s">
        <v>106</v>
      </c>
      <c r="AM48" s="287"/>
      <c r="AN48" s="344"/>
      <c r="AO48" s="335">
        <v>0</v>
      </c>
      <c r="AP48" s="260">
        <v>0</v>
      </c>
      <c r="AQ48" s="336">
        <v>0</v>
      </c>
      <c r="AR48" s="259" t="s">
        <v>352</v>
      </c>
    </row>
    <row r="49" spans="1:44" s="19" customFormat="1" ht="72.5" x14ac:dyDescent="0.35">
      <c r="A49" s="303" t="s">
        <v>343</v>
      </c>
      <c r="B49" s="285" t="s">
        <v>95</v>
      </c>
      <c r="C49" s="285"/>
      <c r="D49" s="286"/>
      <c r="E49" s="286" t="s">
        <v>97</v>
      </c>
      <c r="F49" s="286" t="s">
        <v>112</v>
      </c>
      <c r="G49" s="286" t="s">
        <v>99</v>
      </c>
      <c r="H49" s="286"/>
      <c r="I49" s="286"/>
      <c r="J49" s="286" t="s">
        <v>353</v>
      </c>
      <c r="K49" s="286" t="s">
        <v>354</v>
      </c>
      <c r="L49" s="286"/>
      <c r="M49" s="286"/>
      <c r="N49" s="286"/>
      <c r="O49" s="286" t="s">
        <v>135</v>
      </c>
      <c r="P49" s="269">
        <f t="shared" si="1"/>
        <v>100000</v>
      </c>
      <c r="Q49" s="270">
        <f t="shared" si="2"/>
        <v>0</v>
      </c>
      <c r="R49" s="271">
        <f t="shared" si="3"/>
        <v>100000</v>
      </c>
      <c r="S49" s="271">
        <f t="shared" si="4"/>
        <v>0</v>
      </c>
      <c r="T49" s="271">
        <f t="shared" si="5"/>
        <v>0</v>
      </c>
      <c r="U49" s="272">
        <f t="shared" si="6"/>
        <v>0</v>
      </c>
      <c r="V49" s="362"/>
      <c r="W49" s="361"/>
      <c r="X49" s="291"/>
      <c r="Y49" s="362">
        <v>100000</v>
      </c>
      <c r="Z49" s="361"/>
      <c r="AA49" s="293"/>
      <c r="AB49" s="272"/>
      <c r="AC49" s="273"/>
      <c r="AD49" s="275"/>
      <c r="AE49" s="274"/>
      <c r="AF49" s="273"/>
      <c r="AG49" s="275"/>
      <c r="AH49" s="274"/>
      <c r="AI49" s="273"/>
      <c r="AJ49" s="273"/>
      <c r="AK49" s="276"/>
      <c r="AL49" s="277" t="s">
        <v>136</v>
      </c>
      <c r="AM49" s="287"/>
      <c r="AN49" s="344"/>
      <c r="AO49" s="335">
        <v>0</v>
      </c>
      <c r="AP49" s="260">
        <v>0</v>
      </c>
      <c r="AQ49" s="336">
        <v>0</v>
      </c>
      <c r="AR49" s="259" t="s">
        <v>355</v>
      </c>
    </row>
    <row r="50" spans="1:44" s="35" customFormat="1" ht="72.5" x14ac:dyDescent="0.35">
      <c r="A50" s="303" t="s">
        <v>343</v>
      </c>
      <c r="B50" s="285" t="s">
        <v>95</v>
      </c>
      <c r="C50" s="285"/>
      <c r="D50" s="286" t="s">
        <v>347</v>
      </c>
      <c r="E50" s="286" t="s">
        <v>97</v>
      </c>
      <c r="F50" s="286" t="s">
        <v>112</v>
      </c>
      <c r="G50" s="286" t="s">
        <v>99</v>
      </c>
      <c r="H50" s="286"/>
      <c r="I50" s="286"/>
      <c r="J50" s="286" t="s">
        <v>356</v>
      </c>
      <c r="K50" s="286"/>
      <c r="L50" s="286"/>
      <c r="M50" s="286"/>
      <c r="N50" s="286"/>
      <c r="O50" s="286" t="s">
        <v>135</v>
      </c>
      <c r="P50" s="269">
        <f t="shared" si="1"/>
        <v>200000</v>
      </c>
      <c r="Q50" s="270">
        <f t="shared" si="2"/>
        <v>200000</v>
      </c>
      <c r="R50" s="271">
        <f t="shared" si="3"/>
        <v>0</v>
      </c>
      <c r="S50" s="271">
        <f t="shared" si="4"/>
        <v>0</v>
      </c>
      <c r="T50" s="271">
        <f t="shared" si="5"/>
        <v>0</v>
      </c>
      <c r="U50" s="272">
        <f t="shared" si="6"/>
        <v>0</v>
      </c>
      <c r="V50" s="362">
        <v>200000</v>
      </c>
      <c r="W50" s="361"/>
      <c r="X50" s="291"/>
      <c r="Y50" s="362"/>
      <c r="Z50" s="361"/>
      <c r="AA50" s="293"/>
      <c r="AB50" s="272"/>
      <c r="AC50" s="273"/>
      <c r="AD50" s="275"/>
      <c r="AE50" s="274"/>
      <c r="AF50" s="273"/>
      <c r="AG50" s="275"/>
      <c r="AH50" s="274"/>
      <c r="AI50" s="273"/>
      <c r="AJ50" s="273"/>
      <c r="AK50" s="276"/>
      <c r="AL50" s="277" t="s">
        <v>136</v>
      </c>
      <c r="AM50" s="287"/>
      <c r="AN50" s="344"/>
      <c r="AO50" s="335">
        <v>67000</v>
      </c>
      <c r="AP50" s="260">
        <v>0</v>
      </c>
      <c r="AQ50" s="336">
        <v>0</v>
      </c>
      <c r="AR50" s="259" t="s">
        <v>357</v>
      </c>
    </row>
    <row r="51" spans="1:44" s="35" customFormat="1" ht="72.5" x14ac:dyDescent="0.35">
      <c r="A51" s="303" t="s">
        <v>343</v>
      </c>
      <c r="B51" s="285" t="s">
        <v>95</v>
      </c>
      <c r="C51" s="285"/>
      <c r="D51" s="286" t="s">
        <v>111</v>
      </c>
      <c r="E51" s="286" t="s">
        <v>97</v>
      </c>
      <c r="F51" s="286" t="s">
        <v>280</v>
      </c>
      <c r="G51" s="286" t="s">
        <v>99</v>
      </c>
      <c r="H51" s="286"/>
      <c r="I51" s="286" t="s">
        <v>358</v>
      </c>
      <c r="J51" s="286" t="s">
        <v>359</v>
      </c>
      <c r="K51" s="286" t="s">
        <v>360</v>
      </c>
      <c r="L51" s="286"/>
      <c r="M51" s="286"/>
      <c r="N51" s="286"/>
      <c r="O51" s="286" t="s">
        <v>139</v>
      </c>
      <c r="P51" s="269">
        <f t="shared" si="1"/>
        <v>300000</v>
      </c>
      <c r="Q51" s="270">
        <f t="shared" si="2"/>
        <v>300000</v>
      </c>
      <c r="R51" s="271">
        <f t="shared" si="3"/>
        <v>0</v>
      </c>
      <c r="S51" s="271">
        <f t="shared" si="4"/>
        <v>0</v>
      </c>
      <c r="T51" s="271">
        <f t="shared" si="5"/>
        <v>0</v>
      </c>
      <c r="U51" s="272">
        <f t="shared" si="6"/>
        <v>0</v>
      </c>
      <c r="V51" s="362">
        <v>300000</v>
      </c>
      <c r="W51" s="361"/>
      <c r="X51" s="291"/>
      <c r="Y51" s="362"/>
      <c r="Z51" s="361"/>
      <c r="AA51" s="293"/>
      <c r="AB51" s="272"/>
      <c r="AC51" s="273"/>
      <c r="AD51" s="275"/>
      <c r="AE51" s="274"/>
      <c r="AF51" s="273"/>
      <c r="AG51" s="275"/>
      <c r="AH51" s="274"/>
      <c r="AI51" s="273"/>
      <c r="AJ51" s="273"/>
      <c r="AK51" s="276"/>
      <c r="AL51" s="277" t="s">
        <v>106</v>
      </c>
      <c r="AM51" s="287"/>
      <c r="AN51" s="344"/>
      <c r="AO51" s="335">
        <v>216026</v>
      </c>
      <c r="AP51" s="260">
        <v>0</v>
      </c>
      <c r="AQ51" s="336">
        <v>0</v>
      </c>
      <c r="AR51" s="259" t="s">
        <v>361</v>
      </c>
    </row>
    <row r="52" spans="1:44" s="35" customFormat="1" ht="217.5" x14ac:dyDescent="0.35">
      <c r="A52" s="303" t="s">
        <v>2</v>
      </c>
      <c r="B52" s="285" t="s">
        <v>95</v>
      </c>
      <c r="C52" s="285"/>
      <c r="D52" s="286" t="s">
        <v>362</v>
      </c>
      <c r="E52" s="286" t="s">
        <v>97</v>
      </c>
      <c r="F52" s="286" t="s">
        <v>112</v>
      </c>
      <c r="G52" s="286" t="s">
        <v>99</v>
      </c>
      <c r="H52" s="286"/>
      <c r="I52" s="286" t="s">
        <v>363</v>
      </c>
      <c r="J52" s="286" t="s">
        <v>364</v>
      </c>
      <c r="K52" s="286" t="s">
        <v>338</v>
      </c>
      <c r="L52" s="286"/>
      <c r="M52" s="286"/>
      <c r="N52" s="286"/>
      <c r="O52" s="286" t="s">
        <v>279</v>
      </c>
      <c r="P52" s="269">
        <f t="shared" si="1"/>
        <v>152264</v>
      </c>
      <c r="Q52" s="270">
        <f t="shared" si="2"/>
        <v>152264</v>
      </c>
      <c r="R52" s="271">
        <f t="shared" si="3"/>
        <v>0</v>
      </c>
      <c r="S52" s="271">
        <f t="shared" si="4"/>
        <v>0</v>
      </c>
      <c r="T52" s="271">
        <f t="shared" si="5"/>
        <v>0</v>
      </c>
      <c r="U52" s="272">
        <f t="shared" si="6"/>
        <v>0</v>
      </c>
      <c r="V52" s="362">
        <v>149190</v>
      </c>
      <c r="W52" s="361">
        <v>3074</v>
      </c>
      <c r="X52" s="291"/>
      <c r="Y52" s="362"/>
      <c r="Z52" s="361"/>
      <c r="AA52" s="293"/>
      <c r="AB52" s="272"/>
      <c r="AC52" s="273"/>
      <c r="AD52" s="275"/>
      <c r="AE52" s="274"/>
      <c r="AF52" s="273"/>
      <c r="AG52" s="275"/>
      <c r="AH52" s="274"/>
      <c r="AI52" s="273"/>
      <c r="AJ52" s="273"/>
      <c r="AK52" s="276"/>
      <c r="AL52" s="277" t="s">
        <v>106</v>
      </c>
      <c r="AM52" s="287"/>
      <c r="AN52" s="344"/>
      <c r="AO52" s="335">
        <v>149168</v>
      </c>
      <c r="AP52" s="260">
        <v>3065</v>
      </c>
      <c r="AQ52" s="336">
        <v>0</v>
      </c>
      <c r="AR52" s="259" t="s">
        <v>365</v>
      </c>
    </row>
    <row r="53" spans="1:44" s="19" customFormat="1" ht="130.5" x14ac:dyDescent="0.35">
      <c r="A53" s="303" t="s">
        <v>2</v>
      </c>
      <c r="B53" s="285" t="s">
        <v>95</v>
      </c>
      <c r="C53" s="285"/>
      <c r="D53" s="286" t="s">
        <v>362</v>
      </c>
      <c r="E53" s="286" t="s">
        <v>97</v>
      </c>
      <c r="F53" s="286" t="s">
        <v>112</v>
      </c>
      <c r="G53" s="286" t="s">
        <v>7</v>
      </c>
      <c r="H53" s="286"/>
      <c r="I53" s="286" t="s">
        <v>366</v>
      </c>
      <c r="J53" s="286" t="s">
        <v>367</v>
      </c>
      <c r="K53" s="286" t="s">
        <v>338</v>
      </c>
      <c r="L53" s="286"/>
      <c r="M53" s="286"/>
      <c r="N53" s="286"/>
      <c r="O53" s="286" t="s">
        <v>279</v>
      </c>
      <c r="P53" s="269">
        <f t="shared" si="1"/>
        <v>396364</v>
      </c>
      <c r="Q53" s="270">
        <f t="shared" si="2"/>
        <v>396364</v>
      </c>
      <c r="R53" s="271">
        <f t="shared" si="3"/>
        <v>0</v>
      </c>
      <c r="S53" s="271">
        <f t="shared" si="4"/>
        <v>0</v>
      </c>
      <c r="T53" s="271">
        <f t="shared" si="5"/>
        <v>0</v>
      </c>
      <c r="U53" s="272">
        <f t="shared" si="6"/>
        <v>0</v>
      </c>
      <c r="V53" s="362">
        <v>392350</v>
      </c>
      <c r="W53" s="361">
        <v>4014</v>
      </c>
      <c r="X53" s="291"/>
      <c r="Y53" s="362"/>
      <c r="Z53" s="361"/>
      <c r="AA53" s="293"/>
      <c r="AB53" s="272"/>
      <c r="AC53" s="273"/>
      <c r="AD53" s="275"/>
      <c r="AE53" s="274"/>
      <c r="AF53" s="273"/>
      <c r="AG53" s="275"/>
      <c r="AH53" s="274"/>
      <c r="AI53" s="273"/>
      <c r="AJ53" s="273"/>
      <c r="AK53" s="276"/>
      <c r="AL53" s="277" t="s">
        <v>106</v>
      </c>
      <c r="AM53" s="287"/>
      <c r="AN53" s="344"/>
      <c r="AO53" s="335">
        <v>392216</v>
      </c>
      <c r="AP53" s="260">
        <v>3991</v>
      </c>
      <c r="AQ53" s="336">
        <v>0</v>
      </c>
      <c r="AR53" s="259" t="s">
        <v>365</v>
      </c>
    </row>
    <row r="54" spans="1:44" s="35" customFormat="1" ht="72.5" x14ac:dyDescent="0.35">
      <c r="A54" s="303" t="s">
        <v>2</v>
      </c>
      <c r="B54" s="285" t="s">
        <v>95</v>
      </c>
      <c r="C54" s="285"/>
      <c r="D54" s="286" t="s">
        <v>320</v>
      </c>
      <c r="E54" s="286" t="s">
        <v>97</v>
      </c>
      <c r="F54" s="286" t="s">
        <v>112</v>
      </c>
      <c r="G54" s="286" t="s">
        <v>99</v>
      </c>
      <c r="H54" s="286"/>
      <c r="I54" s="286" t="s">
        <v>368</v>
      </c>
      <c r="J54" s="286" t="s">
        <v>369</v>
      </c>
      <c r="K54" s="286" t="s">
        <v>338</v>
      </c>
      <c r="L54" s="286"/>
      <c r="M54" s="286"/>
      <c r="N54" s="286"/>
      <c r="O54" s="286" t="s">
        <v>279</v>
      </c>
      <c r="P54" s="269">
        <f t="shared" si="1"/>
        <v>414759</v>
      </c>
      <c r="Q54" s="270">
        <f t="shared" si="2"/>
        <v>414759</v>
      </c>
      <c r="R54" s="271">
        <f t="shared" si="3"/>
        <v>0</v>
      </c>
      <c r="S54" s="271">
        <f t="shared" si="4"/>
        <v>0</v>
      </c>
      <c r="T54" s="271">
        <f t="shared" si="5"/>
        <v>0</v>
      </c>
      <c r="U54" s="272">
        <f t="shared" si="6"/>
        <v>0</v>
      </c>
      <c r="V54" s="362">
        <v>403159</v>
      </c>
      <c r="W54" s="361">
        <v>11600</v>
      </c>
      <c r="X54" s="291"/>
      <c r="Y54" s="362"/>
      <c r="Z54" s="361"/>
      <c r="AA54" s="293"/>
      <c r="AB54" s="272"/>
      <c r="AC54" s="273"/>
      <c r="AD54" s="275"/>
      <c r="AE54" s="274"/>
      <c r="AF54" s="273"/>
      <c r="AG54" s="275"/>
      <c r="AH54" s="274"/>
      <c r="AI54" s="273"/>
      <c r="AJ54" s="273"/>
      <c r="AK54" s="276"/>
      <c r="AL54" s="277" t="s">
        <v>106</v>
      </c>
      <c r="AM54" s="287"/>
      <c r="AN54" s="344"/>
      <c r="AO54" s="335">
        <v>403159</v>
      </c>
      <c r="AP54" s="260">
        <v>9737</v>
      </c>
      <c r="AQ54" s="336">
        <v>0</v>
      </c>
      <c r="AR54" s="259" t="s">
        <v>365</v>
      </c>
    </row>
    <row r="55" spans="1:44" s="35" customFormat="1" ht="72.5" x14ac:dyDescent="0.35">
      <c r="A55" s="303" t="s">
        <v>2</v>
      </c>
      <c r="B55" s="285" t="s">
        <v>95</v>
      </c>
      <c r="C55" s="285"/>
      <c r="D55" s="286" t="s">
        <v>370</v>
      </c>
      <c r="E55" s="286" t="s">
        <v>97</v>
      </c>
      <c r="F55" s="286" t="s">
        <v>112</v>
      </c>
      <c r="G55" s="286" t="s">
        <v>99</v>
      </c>
      <c r="H55" s="286"/>
      <c r="I55" s="286" t="s">
        <v>371</v>
      </c>
      <c r="J55" s="286" t="s">
        <v>372</v>
      </c>
      <c r="K55" s="286" t="s">
        <v>373</v>
      </c>
      <c r="L55" s="286"/>
      <c r="M55" s="286"/>
      <c r="N55" s="286"/>
      <c r="O55" s="286" t="s">
        <v>135</v>
      </c>
      <c r="P55" s="269">
        <f t="shared" si="1"/>
        <v>700000</v>
      </c>
      <c r="Q55" s="270">
        <f t="shared" si="2"/>
        <v>0</v>
      </c>
      <c r="R55" s="271">
        <f t="shared" si="3"/>
        <v>400000</v>
      </c>
      <c r="S55" s="271">
        <f t="shared" si="4"/>
        <v>300000</v>
      </c>
      <c r="T55" s="271">
        <f t="shared" si="5"/>
        <v>0</v>
      </c>
      <c r="U55" s="272">
        <f t="shared" si="6"/>
        <v>0</v>
      </c>
      <c r="V55" s="362"/>
      <c r="W55" s="361"/>
      <c r="X55" s="291"/>
      <c r="Y55" s="362">
        <v>400000</v>
      </c>
      <c r="Z55" s="361"/>
      <c r="AA55" s="293"/>
      <c r="AB55" s="272">
        <v>300000</v>
      </c>
      <c r="AC55" s="273"/>
      <c r="AD55" s="275"/>
      <c r="AE55" s="274"/>
      <c r="AF55" s="273"/>
      <c r="AG55" s="275"/>
      <c r="AH55" s="274"/>
      <c r="AI55" s="273"/>
      <c r="AJ55" s="273"/>
      <c r="AK55" s="276"/>
      <c r="AL55" s="277" t="s">
        <v>136</v>
      </c>
      <c r="AM55" s="287"/>
      <c r="AN55" s="344"/>
      <c r="AO55" s="335">
        <v>0</v>
      </c>
      <c r="AP55" s="260">
        <v>0</v>
      </c>
      <c r="AQ55" s="336">
        <v>0</v>
      </c>
      <c r="AR55" s="259" t="s">
        <v>374</v>
      </c>
    </row>
    <row r="56" spans="1:44" s="19" customFormat="1" ht="72.5" x14ac:dyDescent="0.35">
      <c r="A56" s="303" t="s">
        <v>2</v>
      </c>
      <c r="B56" s="285" t="s">
        <v>95</v>
      </c>
      <c r="C56" s="285"/>
      <c r="D56" s="286" t="s">
        <v>375</v>
      </c>
      <c r="E56" s="286" t="s">
        <v>97</v>
      </c>
      <c r="F56" s="286" t="s">
        <v>112</v>
      </c>
      <c r="G56" s="286" t="s">
        <v>99</v>
      </c>
      <c r="H56" s="286"/>
      <c r="I56" s="286" t="s">
        <v>376</v>
      </c>
      <c r="J56" s="286" t="s">
        <v>377</v>
      </c>
      <c r="K56" s="286" t="s">
        <v>338</v>
      </c>
      <c r="L56" s="286"/>
      <c r="M56" s="286"/>
      <c r="N56" s="286"/>
      <c r="O56" s="286" t="s">
        <v>139</v>
      </c>
      <c r="P56" s="269">
        <f t="shared" si="1"/>
        <v>700000</v>
      </c>
      <c r="Q56" s="270">
        <f t="shared" si="2"/>
        <v>700000</v>
      </c>
      <c r="R56" s="271">
        <f t="shared" si="3"/>
        <v>0</v>
      </c>
      <c r="S56" s="271">
        <f t="shared" si="4"/>
        <v>0</v>
      </c>
      <c r="T56" s="271">
        <f t="shared" si="5"/>
        <v>0</v>
      </c>
      <c r="U56" s="272">
        <f t="shared" si="6"/>
        <v>0</v>
      </c>
      <c r="V56" s="362">
        <v>700000</v>
      </c>
      <c r="W56" s="361"/>
      <c r="X56" s="291"/>
      <c r="Y56" s="362"/>
      <c r="Z56" s="361"/>
      <c r="AA56" s="293"/>
      <c r="AB56" s="272"/>
      <c r="AC56" s="273"/>
      <c r="AD56" s="275"/>
      <c r="AE56" s="274"/>
      <c r="AF56" s="273"/>
      <c r="AG56" s="275"/>
      <c r="AH56" s="274"/>
      <c r="AI56" s="273"/>
      <c r="AJ56" s="273"/>
      <c r="AK56" s="276"/>
      <c r="AL56" s="277" t="s">
        <v>136</v>
      </c>
      <c r="AM56" s="287"/>
      <c r="AN56" s="344"/>
      <c r="AO56" s="335">
        <v>469700</v>
      </c>
      <c r="AP56" s="260"/>
      <c r="AQ56" s="336">
        <v>65817</v>
      </c>
      <c r="AR56" s="259" t="s">
        <v>378</v>
      </c>
    </row>
    <row r="57" spans="1:44" s="35" customFormat="1" ht="72.5" x14ac:dyDescent="0.35">
      <c r="A57" s="303" t="s">
        <v>2</v>
      </c>
      <c r="B57" s="285" t="s">
        <v>95</v>
      </c>
      <c r="C57" s="285"/>
      <c r="D57" s="286" t="s">
        <v>379</v>
      </c>
      <c r="E57" s="286" t="s">
        <v>97</v>
      </c>
      <c r="F57" s="286" t="s">
        <v>98</v>
      </c>
      <c r="G57" s="286" t="s">
        <v>99</v>
      </c>
      <c r="H57" s="286"/>
      <c r="I57" s="286" t="s">
        <v>380</v>
      </c>
      <c r="J57" s="286" t="s">
        <v>381</v>
      </c>
      <c r="K57" s="286" t="s">
        <v>338</v>
      </c>
      <c r="L57" s="286"/>
      <c r="M57" s="286"/>
      <c r="N57" s="286"/>
      <c r="O57" s="286" t="s">
        <v>139</v>
      </c>
      <c r="P57" s="269">
        <f t="shared" si="1"/>
        <v>43976</v>
      </c>
      <c r="Q57" s="270">
        <f t="shared" si="2"/>
        <v>43976</v>
      </c>
      <c r="R57" s="271">
        <f t="shared" si="3"/>
        <v>0</v>
      </c>
      <c r="S57" s="271">
        <f t="shared" si="4"/>
        <v>0</v>
      </c>
      <c r="T57" s="271">
        <f t="shared" si="5"/>
        <v>0</v>
      </c>
      <c r="U57" s="272">
        <f t="shared" si="6"/>
        <v>0</v>
      </c>
      <c r="V57" s="362">
        <v>43976</v>
      </c>
      <c r="W57" s="361"/>
      <c r="X57" s="291"/>
      <c r="Y57" s="362"/>
      <c r="Z57" s="361"/>
      <c r="AA57" s="293"/>
      <c r="AB57" s="272"/>
      <c r="AC57" s="273"/>
      <c r="AD57" s="275"/>
      <c r="AE57" s="274"/>
      <c r="AF57" s="273"/>
      <c r="AG57" s="275"/>
      <c r="AH57" s="274"/>
      <c r="AI57" s="273"/>
      <c r="AJ57" s="273"/>
      <c r="AK57" s="287"/>
      <c r="AL57" s="277" t="s">
        <v>136</v>
      </c>
      <c r="AM57" s="287"/>
      <c r="AN57" s="344"/>
      <c r="AO57" s="335">
        <v>76729</v>
      </c>
      <c r="AP57" s="260">
        <v>0</v>
      </c>
      <c r="AQ57" s="336">
        <v>0</v>
      </c>
      <c r="AR57" s="259" t="s">
        <v>382</v>
      </c>
    </row>
    <row r="58" spans="1:44" s="19" customFormat="1" ht="72.5" x14ac:dyDescent="0.35">
      <c r="A58" s="303" t="s">
        <v>2</v>
      </c>
      <c r="B58" s="285" t="s">
        <v>95</v>
      </c>
      <c r="C58" s="285"/>
      <c r="D58" s="286" t="s">
        <v>379</v>
      </c>
      <c r="E58" s="286" t="s">
        <v>97</v>
      </c>
      <c r="F58" s="286" t="s">
        <v>280</v>
      </c>
      <c r="G58" s="286" t="s">
        <v>99</v>
      </c>
      <c r="H58" s="286"/>
      <c r="I58" s="286" t="s">
        <v>383</v>
      </c>
      <c r="J58" s="286" t="s">
        <v>384</v>
      </c>
      <c r="K58" s="286" t="s">
        <v>338</v>
      </c>
      <c r="L58" s="286"/>
      <c r="M58" s="286"/>
      <c r="N58" s="286"/>
      <c r="O58" s="286" t="s">
        <v>135</v>
      </c>
      <c r="P58" s="269">
        <f t="shared" si="1"/>
        <v>720000</v>
      </c>
      <c r="Q58" s="270">
        <f t="shared" si="2"/>
        <v>720000</v>
      </c>
      <c r="R58" s="271">
        <f t="shared" si="3"/>
        <v>0</v>
      </c>
      <c r="S58" s="271">
        <f t="shared" si="4"/>
        <v>0</v>
      </c>
      <c r="T58" s="271">
        <f t="shared" si="5"/>
        <v>0</v>
      </c>
      <c r="U58" s="272">
        <f t="shared" si="6"/>
        <v>0</v>
      </c>
      <c r="V58" s="362">
        <v>720000</v>
      </c>
      <c r="W58" s="361"/>
      <c r="X58" s="291"/>
      <c r="Y58" s="362"/>
      <c r="Z58" s="361"/>
      <c r="AA58" s="293"/>
      <c r="AB58" s="272"/>
      <c r="AC58" s="273"/>
      <c r="AD58" s="275"/>
      <c r="AE58" s="274"/>
      <c r="AF58" s="273"/>
      <c r="AG58" s="275"/>
      <c r="AH58" s="274"/>
      <c r="AI58" s="273"/>
      <c r="AJ58" s="273"/>
      <c r="AK58" s="287"/>
      <c r="AL58" s="277" t="s">
        <v>136</v>
      </c>
      <c r="AM58" s="287"/>
      <c r="AN58" s="344"/>
      <c r="AO58" s="335">
        <v>38944</v>
      </c>
      <c r="AP58" s="260">
        <v>0</v>
      </c>
      <c r="AQ58" s="336">
        <v>0</v>
      </c>
      <c r="AR58" s="259" t="s">
        <v>365</v>
      </c>
    </row>
    <row r="59" spans="1:44" s="35" customFormat="1" ht="87" x14ac:dyDescent="0.35">
      <c r="A59" s="303" t="s">
        <v>2</v>
      </c>
      <c r="B59" s="285" t="s">
        <v>95</v>
      </c>
      <c r="C59" s="285"/>
      <c r="D59" s="286" t="s">
        <v>379</v>
      </c>
      <c r="E59" s="286" t="s">
        <v>97</v>
      </c>
      <c r="F59" s="286" t="s">
        <v>280</v>
      </c>
      <c r="G59" s="286" t="s">
        <v>99</v>
      </c>
      <c r="H59" s="286"/>
      <c r="I59" s="286" t="s">
        <v>358</v>
      </c>
      <c r="J59" s="286" t="s">
        <v>385</v>
      </c>
      <c r="K59" s="286" t="s">
        <v>386</v>
      </c>
      <c r="L59" s="286"/>
      <c r="M59" s="286"/>
      <c r="N59" s="286"/>
      <c r="O59" s="286" t="s">
        <v>139</v>
      </c>
      <c r="P59" s="269">
        <f t="shared" si="1"/>
        <v>600000</v>
      </c>
      <c r="Q59" s="270">
        <f t="shared" si="2"/>
        <v>600000</v>
      </c>
      <c r="R59" s="271">
        <f t="shared" si="3"/>
        <v>0</v>
      </c>
      <c r="S59" s="271">
        <f t="shared" si="4"/>
        <v>0</v>
      </c>
      <c r="T59" s="271">
        <f t="shared" si="5"/>
        <v>0</v>
      </c>
      <c r="U59" s="272">
        <f t="shared" si="6"/>
        <v>0</v>
      </c>
      <c r="V59" s="362">
        <v>600000</v>
      </c>
      <c r="W59" s="361"/>
      <c r="X59" s="291"/>
      <c r="Y59" s="362"/>
      <c r="Z59" s="361"/>
      <c r="AA59" s="293"/>
      <c r="AB59" s="272"/>
      <c r="AC59" s="273"/>
      <c r="AD59" s="275"/>
      <c r="AE59" s="274"/>
      <c r="AF59" s="273"/>
      <c r="AG59" s="275"/>
      <c r="AH59" s="274"/>
      <c r="AI59" s="273"/>
      <c r="AJ59" s="273"/>
      <c r="AK59" s="276"/>
      <c r="AL59" s="277" t="s">
        <v>136</v>
      </c>
      <c r="AM59" s="287"/>
      <c r="AN59" s="344"/>
      <c r="AO59" s="335">
        <v>342896</v>
      </c>
      <c r="AP59" s="260"/>
      <c r="AQ59" s="336">
        <v>1608</v>
      </c>
      <c r="AR59" s="259" t="s">
        <v>365</v>
      </c>
    </row>
    <row r="60" spans="1:44" s="35" customFormat="1" ht="72.5" x14ac:dyDescent="0.35">
      <c r="A60" s="303" t="s">
        <v>2</v>
      </c>
      <c r="B60" s="285" t="s">
        <v>95</v>
      </c>
      <c r="C60" s="285"/>
      <c r="D60" s="286" t="s">
        <v>379</v>
      </c>
      <c r="E60" s="286" t="s">
        <v>97</v>
      </c>
      <c r="F60" s="286" t="s">
        <v>280</v>
      </c>
      <c r="G60" s="286" t="s">
        <v>99</v>
      </c>
      <c r="H60" s="286"/>
      <c r="I60" s="286" t="s">
        <v>358</v>
      </c>
      <c r="J60" s="286" t="s">
        <v>387</v>
      </c>
      <c r="K60" s="286" t="s">
        <v>386</v>
      </c>
      <c r="L60" s="286"/>
      <c r="M60" s="286"/>
      <c r="N60" s="286"/>
      <c r="O60" s="286" t="s">
        <v>139</v>
      </c>
      <c r="P60" s="269">
        <f t="shared" si="1"/>
        <v>400000</v>
      </c>
      <c r="Q60" s="270">
        <f t="shared" si="2"/>
        <v>400000</v>
      </c>
      <c r="R60" s="271">
        <f t="shared" si="3"/>
        <v>0</v>
      </c>
      <c r="S60" s="271">
        <f t="shared" si="4"/>
        <v>0</v>
      </c>
      <c r="T60" s="271">
        <f t="shared" si="5"/>
        <v>0</v>
      </c>
      <c r="U60" s="272">
        <f t="shared" si="6"/>
        <v>0</v>
      </c>
      <c r="V60" s="362">
        <v>400000</v>
      </c>
      <c r="W60" s="361"/>
      <c r="X60" s="291"/>
      <c r="Y60" s="362"/>
      <c r="Z60" s="361"/>
      <c r="AA60" s="293"/>
      <c r="AB60" s="272"/>
      <c r="AC60" s="273"/>
      <c r="AD60" s="275"/>
      <c r="AE60" s="274"/>
      <c r="AF60" s="273"/>
      <c r="AG60" s="275"/>
      <c r="AH60" s="274"/>
      <c r="AI60" s="273"/>
      <c r="AJ60" s="273"/>
      <c r="AK60" s="276"/>
      <c r="AL60" s="277" t="s">
        <v>106</v>
      </c>
      <c r="AM60" s="287"/>
      <c r="AN60" s="344"/>
      <c r="AO60" s="335">
        <v>344503</v>
      </c>
      <c r="AP60" s="260"/>
      <c r="AQ60" s="336"/>
      <c r="AR60" s="259" t="s">
        <v>365</v>
      </c>
    </row>
    <row r="61" spans="1:44" s="35" customFormat="1" ht="72.5" x14ac:dyDescent="0.35">
      <c r="A61" s="303" t="s">
        <v>2</v>
      </c>
      <c r="B61" s="285" t="s">
        <v>95</v>
      </c>
      <c r="C61" s="285"/>
      <c r="D61" s="286" t="s">
        <v>388</v>
      </c>
      <c r="E61" s="286" t="s">
        <v>97</v>
      </c>
      <c r="F61" s="286" t="s">
        <v>112</v>
      </c>
      <c r="G61" s="286" t="s">
        <v>99</v>
      </c>
      <c r="H61" s="286"/>
      <c r="I61" s="286" t="s">
        <v>389</v>
      </c>
      <c r="J61" s="286" t="s">
        <v>390</v>
      </c>
      <c r="K61" s="286" t="s">
        <v>338</v>
      </c>
      <c r="L61" s="286"/>
      <c r="M61" s="286"/>
      <c r="N61" s="286"/>
      <c r="O61" s="286" t="s">
        <v>279</v>
      </c>
      <c r="P61" s="269">
        <f t="shared" si="1"/>
        <v>257340</v>
      </c>
      <c r="Q61" s="270">
        <f t="shared" si="2"/>
        <v>257340</v>
      </c>
      <c r="R61" s="271">
        <f t="shared" si="3"/>
        <v>0</v>
      </c>
      <c r="S61" s="271">
        <f t="shared" si="4"/>
        <v>0</v>
      </c>
      <c r="T61" s="271">
        <f t="shared" si="5"/>
        <v>0</v>
      </c>
      <c r="U61" s="272">
        <f t="shared" si="6"/>
        <v>0</v>
      </c>
      <c r="V61" s="362">
        <v>257340</v>
      </c>
      <c r="W61" s="361"/>
      <c r="X61" s="291"/>
      <c r="Y61" s="362"/>
      <c r="Z61" s="361"/>
      <c r="AA61" s="293"/>
      <c r="AB61" s="272"/>
      <c r="AC61" s="273"/>
      <c r="AD61" s="275"/>
      <c r="AE61" s="274"/>
      <c r="AF61" s="273"/>
      <c r="AG61" s="275"/>
      <c r="AH61" s="274"/>
      <c r="AI61" s="273"/>
      <c r="AJ61" s="273"/>
      <c r="AK61" s="276"/>
      <c r="AL61" s="277" t="s">
        <v>106</v>
      </c>
      <c r="AM61" s="287"/>
      <c r="AN61" s="344"/>
      <c r="AO61" s="335">
        <v>257340</v>
      </c>
      <c r="AP61" s="260">
        <v>0</v>
      </c>
      <c r="AQ61" s="336">
        <v>0</v>
      </c>
      <c r="AR61" s="259" t="s">
        <v>391</v>
      </c>
    </row>
    <row r="62" spans="1:44" s="35" customFormat="1" ht="87" x14ac:dyDescent="0.35">
      <c r="A62" s="303" t="s">
        <v>2</v>
      </c>
      <c r="B62" s="285" t="s">
        <v>118</v>
      </c>
      <c r="C62" s="285"/>
      <c r="D62" s="286"/>
      <c r="E62" s="286" t="s">
        <v>97</v>
      </c>
      <c r="F62" s="286"/>
      <c r="G62" s="286"/>
      <c r="H62" s="286"/>
      <c r="I62" s="286" t="s">
        <v>392</v>
      </c>
      <c r="J62" s="286" t="s">
        <v>393</v>
      </c>
      <c r="K62" s="286" t="s">
        <v>394</v>
      </c>
      <c r="L62" s="286"/>
      <c r="M62" s="286"/>
      <c r="N62" s="286"/>
      <c r="O62" s="286" t="s">
        <v>254</v>
      </c>
      <c r="P62" s="269">
        <f t="shared" si="1"/>
        <v>8000000</v>
      </c>
      <c r="Q62" s="270">
        <f t="shared" si="2"/>
        <v>0</v>
      </c>
      <c r="R62" s="271">
        <f t="shared" si="3"/>
        <v>2000000</v>
      </c>
      <c r="S62" s="271">
        <f t="shared" si="4"/>
        <v>2000000</v>
      </c>
      <c r="T62" s="271">
        <f t="shared" si="5"/>
        <v>2000000</v>
      </c>
      <c r="U62" s="272">
        <f t="shared" si="6"/>
        <v>2000000</v>
      </c>
      <c r="V62" s="362">
        <v>0</v>
      </c>
      <c r="W62" s="361">
        <v>0</v>
      </c>
      <c r="X62" s="291">
        <v>0</v>
      </c>
      <c r="Y62" s="362">
        <v>1000000</v>
      </c>
      <c r="Z62" s="361">
        <v>250000</v>
      </c>
      <c r="AA62" s="293">
        <v>750000</v>
      </c>
      <c r="AB62" s="272">
        <v>1000000</v>
      </c>
      <c r="AC62" s="273">
        <v>250000</v>
      </c>
      <c r="AD62" s="275">
        <v>750000</v>
      </c>
      <c r="AE62" s="274">
        <v>1000000</v>
      </c>
      <c r="AF62" s="273">
        <v>250000</v>
      </c>
      <c r="AG62" s="275">
        <v>750000</v>
      </c>
      <c r="AH62" s="274">
        <v>1000000</v>
      </c>
      <c r="AI62" s="273">
        <v>250000</v>
      </c>
      <c r="AJ62" s="273">
        <v>750000</v>
      </c>
      <c r="AK62" s="276" t="s">
        <v>395</v>
      </c>
      <c r="AL62" s="277" t="s">
        <v>396</v>
      </c>
      <c r="AM62" s="287"/>
      <c r="AN62" s="344"/>
      <c r="AO62" s="335">
        <v>0</v>
      </c>
      <c r="AP62" s="260">
        <v>0</v>
      </c>
      <c r="AQ62" s="336">
        <v>0</v>
      </c>
      <c r="AR62" s="259" t="s">
        <v>397</v>
      </c>
    </row>
    <row r="63" spans="1:44" s="35" customFormat="1" ht="29" x14ac:dyDescent="0.35">
      <c r="A63" s="303" t="s">
        <v>2</v>
      </c>
      <c r="B63" s="285" t="s">
        <v>118</v>
      </c>
      <c r="C63" s="285"/>
      <c r="D63" s="286"/>
      <c r="E63" s="286" t="s">
        <v>97</v>
      </c>
      <c r="F63" s="286"/>
      <c r="G63" s="286"/>
      <c r="H63" s="286"/>
      <c r="I63" s="286"/>
      <c r="J63" s="286" t="s">
        <v>134</v>
      </c>
      <c r="K63" s="286"/>
      <c r="L63" s="286"/>
      <c r="M63" s="286"/>
      <c r="N63" s="286"/>
      <c r="O63" s="286" t="s">
        <v>135</v>
      </c>
      <c r="P63" s="269">
        <f t="shared" si="1"/>
        <v>2766249</v>
      </c>
      <c r="Q63" s="270">
        <f t="shared" si="2"/>
        <v>0</v>
      </c>
      <c r="R63" s="271">
        <f t="shared" si="3"/>
        <v>682521</v>
      </c>
      <c r="S63" s="271">
        <f t="shared" si="4"/>
        <v>692322</v>
      </c>
      <c r="T63" s="271">
        <f t="shared" si="5"/>
        <v>702610</v>
      </c>
      <c r="U63" s="272">
        <f t="shared" si="6"/>
        <v>688796</v>
      </c>
      <c r="V63" s="362"/>
      <c r="W63" s="361"/>
      <c r="X63" s="291"/>
      <c r="Y63" s="362">
        <v>486512</v>
      </c>
      <c r="Z63" s="361">
        <v>170443</v>
      </c>
      <c r="AA63" s="293">
        <v>25566</v>
      </c>
      <c r="AB63" s="272">
        <v>486512</v>
      </c>
      <c r="AC63" s="273">
        <v>178965</v>
      </c>
      <c r="AD63" s="275">
        <v>26845</v>
      </c>
      <c r="AE63" s="274">
        <v>486510</v>
      </c>
      <c r="AF63" s="273">
        <v>187913</v>
      </c>
      <c r="AG63" s="275">
        <v>28187</v>
      </c>
      <c r="AH63" s="274">
        <v>461891</v>
      </c>
      <c r="AI63" s="273">
        <v>197309</v>
      </c>
      <c r="AJ63" s="275">
        <v>29596</v>
      </c>
      <c r="AK63" s="276"/>
      <c r="AL63" s="277" t="s">
        <v>136</v>
      </c>
      <c r="AM63" s="287"/>
      <c r="AN63" s="344"/>
      <c r="AO63" s="335">
        <v>288950</v>
      </c>
      <c r="AP63" s="260">
        <v>125914</v>
      </c>
      <c r="AQ63" s="336">
        <v>18887</v>
      </c>
      <c r="AR63" s="259" t="s">
        <v>398</v>
      </c>
    </row>
    <row r="64" spans="1:44" s="19" customFormat="1" ht="43.5" x14ac:dyDescent="0.35">
      <c r="A64" s="303" t="s">
        <v>2</v>
      </c>
      <c r="B64" s="285" t="s">
        <v>118</v>
      </c>
      <c r="C64" s="285"/>
      <c r="D64" s="286"/>
      <c r="E64" s="286" t="s">
        <v>97</v>
      </c>
      <c r="F64" s="286"/>
      <c r="G64" s="286"/>
      <c r="H64" s="286"/>
      <c r="I64" s="286"/>
      <c r="J64" s="286" t="s">
        <v>137</v>
      </c>
      <c r="K64" s="286"/>
      <c r="L64" s="286"/>
      <c r="M64" s="286"/>
      <c r="N64" s="286"/>
      <c r="O64" s="286" t="s">
        <v>135</v>
      </c>
      <c r="P64" s="269">
        <f t="shared" si="1"/>
        <v>7930706.8333333358</v>
      </c>
      <c r="Q64" s="270">
        <f t="shared" si="2"/>
        <v>326106</v>
      </c>
      <c r="R64" s="271">
        <f t="shared" si="3"/>
        <v>1326150</v>
      </c>
      <c r="S64" s="271">
        <f t="shared" si="4"/>
        <v>1626150</v>
      </c>
      <c r="T64" s="271">
        <f t="shared" si="5"/>
        <v>2326150.4166666674</v>
      </c>
      <c r="U64" s="272">
        <f t="shared" si="6"/>
        <v>2326150.4166666674</v>
      </c>
      <c r="V64" s="362"/>
      <c r="W64" s="361">
        <v>283570</v>
      </c>
      <c r="X64" s="291">
        <v>42536</v>
      </c>
      <c r="Y64" s="362">
        <v>906315</v>
      </c>
      <c r="Z64" s="361">
        <v>357682.5</v>
      </c>
      <c r="AA64" s="293">
        <v>62152.5</v>
      </c>
      <c r="AB64" s="272">
        <v>1206315</v>
      </c>
      <c r="AC64" s="273">
        <v>357682.5</v>
      </c>
      <c r="AD64" s="275">
        <v>62152.5</v>
      </c>
      <c r="AE64" s="274">
        <v>1906315.4166666674</v>
      </c>
      <c r="AF64" s="273">
        <v>357682.5</v>
      </c>
      <c r="AG64" s="275">
        <v>62152.5</v>
      </c>
      <c r="AH64" s="274">
        <v>1906315.4166666674</v>
      </c>
      <c r="AI64" s="273">
        <v>357682.5</v>
      </c>
      <c r="AJ64" s="273">
        <v>62152.5</v>
      </c>
      <c r="AK64" s="276"/>
      <c r="AL64" s="277" t="s">
        <v>136</v>
      </c>
      <c r="AM64" s="287"/>
      <c r="AN64" s="344"/>
      <c r="AO64" s="335">
        <v>346456</v>
      </c>
      <c r="AP64" s="260">
        <v>259876</v>
      </c>
      <c r="AQ64" s="335">
        <v>38981</v>
      </c>
      <c r="AR64" s="259" t="s">
        <v>398</v>
      </c>
    </row>
    <row r="65" spans="1:44" s="19" customFormat="1" ht="29" x14ac:dyDescent="0.35">
      <c r="A65" s="303" t="s">
        <v>2</v>
      </c>
      <c r="B65" s="285" t="s">
        <v>118</v>
      </c>
      <c r="C65" s="285"/>
      <c r="D65" s="286"/>
      <c r="E65" s="286" t="s">
        <v>97</v>
      </c>
      <c r="F65" s="286"/>
      <c r="G65" s="286"/>
      <c r="H65" s="286"/>
      <c r="I65" s="286"/>
      <c r="J65" s="286" t="s">
        <v>139</v>
      </c>
      <c r="K65" s="286"/>
      <c r="L65" s="286"/>
      <c r="M65" s="286"/>
      <c r="N65" s="286"/>
      <c r="O65" s="286" t="s">
        <v>139</v>
      </c>
      <c r="P65" s="269">
        <f t="shared" si="1"/>
        <v>16970780</v>
      </c>
      <c r="Q65" s="270">
        <f t="shared" si="2"/>
        <v>3691996</v>
      </c>
      <c r="R65" s="271">
        <f t="shared" si="3"/>
        <v>3319696</v>
      </c>
      <c r="S65" s="271">
        <f t="shared" si="4"/>
        <v>3319696</v>
      </c>
      <c r="T65" s="271">
        <f t="shared" si="5"/>
        <v>3319696</v>
      </c>
      <c r="U65" s="272">
        <f t="shared" si="6"/>
        <v>3319696</v>
      </c>
      <c r="V65" s="362">
        <v>918000</v>
      </c>
      <c r="W65" s="361">
        <v>1543400</v>
      </c>
      <c r="X65" s="291">
        <v>1230596</v>
      </c>
      <c r="Y65" s="362">
        <v>918000</v>
      </c>
      <c r="Z65" s="361">
        <v>1171100</v>
      </c>
      <c r="AA65" s="293">
        <v>1230596</v>
      </c>
      <c r="AB65" s="272">
        <v>918000</v>
      </c>
      <c r="AC65" s="273">
        <v>1171100</v>
      </c>
      <c r="AD65" s="275">
        <v>1230596</v>
      </c>
      <c r="AE65" s="274">
        <v>918000</v>
      </c>
      <c r="AF65" s="273">
        <v>1171100</v>
      </c>
      <c r="AG65" s="275">
        <v>1230596</v>
      </c>
      <c r="AH65" s="274">
        <v>918000</v>
      </c>
      <c r="AI65" s="273">
        <v>1171100</v>
      </c>
      <c r="AJ65" s="273">
        <v>1230596</v>
      </c>
      <c r="AK65" s="276"/>
      <c r="AL65" s="277" t="s">
        <v>396</v>
      </c>
      <c r="AM65" s="287"/>
      <c r="AN65" s="344"/>
      <c r="AO65" s="335">
        <f>1633204-344503</f>
        <v>1288701</v>
      </c>
      <c r="AP65" s="260">
        <v>1058777</v>
      </c>
      <c r="AQ65" s="336">
        <v>1033795</v>
      </c>
      <c r="AR65" s="259" t="s">
        <v>399</v>
      </c>
    </row>
    <row r="66" spans="1:44" s="19" customFormat="1" ht="15.5" x14ac:dyDescent="0.35">
      <c r="A66" s="303" t="s">
        <v>140</v>
      </c>
      <c r="B66" s="285"/>
      <c r="C66" s="285"/>
      <c r="D66" s="286"/>
      <c r="E66" s="286"/>
      <c r="F66" s="286"/>
      <c r="G66" s="286"/>
      <c r="H66" s="286"/>
      <c r="I66" s="286"/>
      <c r="J66" s="286"/>
      <c r="K66" s="286"/>
      <c r="L66" s="286"/>
      <c r="M66" s="286"/>
      <c r="N66" s="286"/>
      <c r="O66" s="286"/>
      <c r="P66" s="269">
        <f t="shared" si="1"/>
        <v>0</v>
      </c>
      <c r="Q66" s="270">
        <f t="shared" si="2"/>
        <v>0</v>
      </c>
      <c r="R66" s="271">
        <f t="shared" si="3"/>
        <v>0</v>
      </c>
      <c r="S66" s="271">
        <f t="shared" si="4"/>
        <v>0</v>
      </c>
      <c r="T66" s="271">
        <f t="shared" si="5"/>
        <v>0</v>
      </c>
      <c r="U66" s="272">
        <f t="shared" si="6"/>
        <v>0</v>
      </c>
      <c r="V66" s="362"/>
      <c r="W66" s="361"/>
      <c r="X66" s="291"/>
      <c r="Y66" s="362"/>
      <c r="Z66" s="361"/>
      <c r="AA66" s="293"/>
      <c r="AB66" s="272"/>
      <c r="AC66" s="273"/>
      <c r="AD66" s="275"/>
      <c r="AE66" s="274"/>
      <c r="AF66" s="273"/>
      <c r="AG66" s="275"/>
      <c r="AH66" s="274"/>
      <c r="AI66" s="273"/>
      <c r="AJ66" s="273"/>
      <c r="AK66" s="276"/>
      <c r="AL66" s="277"/>
      <c r="AM66" s="342"/>
      <c r="AN66" s="344"/>
      <c r="AO66" s="335"/>
      <c r="AP66" s="260"/>
      <c r="AQ66" s="336"/>
      <c r="AR66" s="259"/>
    </row>
    <row r="67" spans="1:44" s="19" customFormat="1" ht="159.5" x14ac:dyDescent="0.35">
      <c r="A67" s="303" t="s">
        <v>141</v>
      </c>
      <c r="B67" s="285" t="s">
        <v>142</v>
      </c>
      <c r="C67" s="285"/>
      <c r="D67" s="286" t="s">
        <v>143</v>
      </c>
      <c r="E67" s="286" t="s">
        <v>97</v>
      </c>
      <c r="F67" s="286" t="s">
        <v>144</v>
      </c>
      <c r="G67" s="286" t="s">
        <v>121</v>
      </c>
      <c r="H67" s="286" t="s">
        <v>145</v>
      </c>
      <c r="I67" s="286" t="s">
        <v>400</v>
      </c>
      <c r="J67" s="285" t="s">
        <v>401</v>
      </c>
      <c r="K67" s="286" t="s">
        <v>402</v>
      </c>
      <c r="L67" s="286"/>
      <c r="M67" s="286"/>
      <c r="N67" s="286" t="s">
        <v>403</v>
      </c>
      <c r="O67" s="286" t="s">
        <v>139</v>
      </c>
      <c r="P67" s="269">
        <f t="shared" ref="P67:P131" si="7">SUM(Q67:U67)</f>
        <v>5000</v>
      </c>
      <c r="Q67" s="270">
        <f t="shared" si="2"/>
        <v>5000</v>
      </c>
      <c r="R67" s="271">
        <f t="shared" ref="R67:R131" si="8">SUM(Y67:AA67)</f>
        <v>0</v>
      </c>
      <c r="S67" s="271">
        <f t="shared" ref="S67:S131" si="9">SUM(AB67:AD67)</f>
        <v>0</v>
      </c>
      <c r="T67" s="271">
        <f t="shared" ref="T67:T131" si="10">SUM(AE67:AG67)</f>
        <v>0</v>
      </c>
      <c r="U67" s="272">
        <f t="shared" ref="U67:U131" si="11">SUM(AH67:AJ67)</f>
        <v>0</v>
      </c>
      <c r="V67" s="362"/>
      <c r="W67" s="361"/>
      <c r="X67" s="291">
        <v>5000</v>
      </c>
      <c r="Y67" s="362"/>
      <c r="Z67" s="361"/>
      <c r="AA67" s="293"/>
      <c r="AB67" s="272"/>
      <c r="AC67" s="273"/>
      <c r="AD67" s="275"/>
      <c r="AE67" s="274"/>
      <c r="AF67" s="273"/>
      <c r="AG67" s="275"/>
      <c r="AH67" s="274"/>
      <c r="AI67" s="273"/>
      <c r="AJ67" s="273"/>
      <c r="AK67" s="276" t="s">
        <v>404</v>
      </c>
      <c r="AL67" s="277" t="s">
        <v>106</v>
      </c>
      <c r="AM67" s="342" t="s">
        <v>405</v>
      </c>
      <c r="AN67" s="344"/>
      <c r="AO67" s="335">
        <v>3000</v>
      </c>
      <c r="AP67" s="260"/>
      <c r="AQ67" s="336"/>
      <c r="AR67" s="259" t="s">
        <v>406</v>
      </c>
    </row>
    <row r="68" spans="1:44" s="19" customFormat="1" ht="58" x14ac:dyDescent="0.35">
      <c r="A68" s="303" t="s">
        <v>141</v>
      </c>
      <c r="B68" s="285" t="s">
        <v>142</v>
      </c>
      <c r="C68" s="285"/>
      <c r="D68" s="286" t="s">
        <v>143</v>
      </c>
      <c r="E68" s="286" t="s">
        <v>97</v>
      </c>
      <c r="F68" s="286" t="s">
        <v>144</v>
      </c>
      <c r="G68" s="286" t="s">
        <v>121</v>
      </c>
      <c r="H68" s="288" t="s">
        <v>145</v>
      </c>
      <c r="I68" s="288" t="s">
        <v>407</v>
      </c>
      <c r="J68" s="289" t="s">
        <v>401</v>
      </c>
      <c r="K68" s="288" t="s">
        <v>408</v>
      </c>
      <c r="L68" s="288"/>
      <c r="M68" s="288"/>
      <c r="N68" s="288"/>
      <c r="O68" s="288" t="s">
        <v>254</v>
      </c>
      <c r="P68" s="269">
        <f t="shared" si="7"/>
        <v>0</v>
      </c>
      <c r="Q68" s="270">
        <f t="shared" si="2"/>
        <v>0</v>
      </c>
      <c r="R68" s="271">
        <f t="shared" si="8"/>
        <v>0</v>
      </c>
      <c r="S68" s="271">
        <f t="shared" si="9"/>
        <v>0</v>
      </c>
      <c r="T68" s="271">
        <f t="shared" si="10"/>
        <v>0</v>
      </c>
      <c r="U68" s="272">
        <f t="shared" si="11"/>
        <v>0</v>
      </c>
      <c r="V68" s="362"/>
      <c r="W68" s="361"/>
      <c r="X68" s="291"/>
      <c r="Y68" s="362"/>
      <c r="Z68" s="361"/>
      <c r="AA68" s="293"/>
      <c r="AB68" s="290"/>
      <c r="AC68" s="291"/>
      <c r="AD68" s="293"/>
      <c r="AE68" s="292"/>
      <c r="AF68" s="291"/>
      <c r="AG68" s="293"/>
      <c r="AH68" s="292"/>
      <c r="AI68" s="291"/>
      <c r="AJ68" s="291"/>
      <c r="AK68" s="294" t="s">
        <v>151</v>
      </c>
      <c r="AL68" s="277" t="s">
        <v>106</v>
      </c>
      <c r="AM68" s="342" t="s">
        <v>405</v>
      </c>
      <c r="AN68" s="344"/>
      <c r="AO68" s="335">
        <v>0</v>
      </c>
      <c r="AP68" s="260">
        <v>0</v>
      </c>
      <c r="AQ68" s="336">
        <v>0</v>
      </c>
      <c r="AR68" s="259" t="s">
        <v>409</v>
      </c>
    </row>
    <row r="69" spans="1:44" s="19" customFormat="1" ht="217.5" x14ac:dyDescent="0.35">
      <c r="A69" s="303" t="s">
        <v>141</v>
      </c>
      <c r="B69" s="285" t="s">
        <v>142</v>
      </c>
      <c r="C69" s="285"/>
      <c r="D69" s="286" t="s">
        <v>143</v>
      </c>
      <c r="E69" s="286" t="s">
        <v>97</v>
      </c>
      <c r="F69" s="286" t="s">
        <v>144</v>
      </c>
      <c r="G69" s="286" t="s">
        <v>99</v>
      </c>
      <c r="H69" s="288" t="s">
        <v>145</v>
      </c>
      <c r="I69" s="288" t="s">
        <v>146</v>
      </c>
      <c r="J69" s="289" t="s">
        <v>147</v>
      </c>
      <c r="K69" s="288" t="s">
        <v>410</v>
      </c>
      <c r="L69" s="288"/>
      <c r="M69" s="288"/>
      <c r="N69" s="288" t="s">
        <v>150</v>
      </c>
      <c r="O69" s="288" t="s">
        <v>104</v>
      </c>
      <c r="P69" s="269">
        <f t="shared" si="7"/>
        <v>151319</v>
      </c>
      <c r="Q69" s="270">
        <f t="shared" si="2"/>
        <v>12009</v>
      </c>
      <c r="R69" s="271">
        <f t="shared" si="8"/>
        <v>139310</v>
      </c>
      <c r="S69" s="271">
        <f t="shared" si="9"/>
        <v>0</v>
      </c>
      <c r="T69" s="271">
        <f t="shared" si="10"/>
        <v>0</v>
      </c>
      <c r="U69" s="272">
        <f t="shared" si="11"/>
        <v>0</v>
      </c>
      <c r="V69" s="362"/>
      <c r="W69" s="361">
        <v>12009</v>
      </c>
      <c r="X69" s="291"/>
      <c r="Y69" s="362">
        <v>125000</v>
      </c>
      <c r="Z69" s="361">
        <v>14310</v>
      </c>
      <c r="AA69" s="293"/>
      <c r="AB69" s="290"/>
      <c r="AC69" s="291"/>
      <c r="AD69" s="293"/>
      <c r="AE69" s="292"/>
      <c r="AF69" s="291"/>
      <c r="AG69" s="293"/>
      <c r="AH69" s="292"/>
      <c r="AI69" s="291"/>
      <c r="AJ69" s="291"/>
      <c r="AK69" s="294" t="s">
        <v>151</v>
      </c>
      <c r="AL69" s="277" t="s">
        <v>136</v>
      </c>
      <c r="AM69" s="342" t="s">
        <v>405</v>
      </c>
      <c r="AN69" s="344"/>
      <c r="AO69" s="335">
        <v>0</v>
      </c>
      <c r="AP69" s="260">
        <v>0</v>
      </c>
      <c r="AQ69" s="336">
        <v>0</v>
      </c>
      <c r="AR69" s="259" t="s">
        <v>411</v>
      </c>
    </row>
    <row r="70" spans="1:44" s="35" customFormat="1" ht="116" x14ac:dyDescent="0.35">
      <c r="A70" s="303" t="s">
        <v>141</v>
      </c>
      <c r="B70" s="285" t="s">
        <v>142</v>
      </c>
      <c r="C70" s="285"/>
      <c r="D70" s="286" t="s">
        <v>143</v>
      </c>
      <c r="E70" s="286" t="s">
        <v>97</v>
      </c>
      <c r="F70" s="286" t="s">
        <v>152</v>
      </c>
      <c r="G70" s="286" t="s">
        <v>99</v>
      </c>
      <c r="H70" s="286" t="s">
        <v>145</v>
      </c>
      <c r="I70" s="286" t="s">
        <v>153</v>
      </c>
      <c r="J70" s="302" t="s">
        <v>147</v>
      </c>
      <c r="K70" s="286" t="s">
        <v>154</v>
      </c>
      <c r="L70" s="286"/>
      <c r="M70" s="286"/>
      <c r="N70" s="286" t="s">
        <v>155</v>
      </c>
      <c r="O70" s="286" t="s">
        <v>104</v>
      </c>
      <c r="P70" s="269">
        <f t="shared" si="7"/>
        <v>1332773</v>
      </c>
      <c r="Q70" s="270">
        <f t="shared" si="2"/>
        <v>0</v>
      </c>
      <c r="R70" s="271">
        <f t="shared" si="8"/>
        <v>260647</v>
      </c>
      <c r="S70" s="271">
        <f t="shared" si="9"/>
        <v>591733</v>
      </c>
      <c r="T70" s="271">
        <f t="shared" si="10"/>
        <v>480393</v>
      </c>
      <c r="U70" s="272">
        <f t="shared" si="11"/>
        <v>0</v>
      </c>
      <c r="V70" s="362"/>
      <c r="W70" s="361"/>
      <c r="X70" s="291"/>
      <c r="Y70" s="362">
        <v>201300</v>
      </c>
      <c r="Z70" s="361">
        <v>59347</v>
      </c>
      <c r="AA70" s="293"/>
      <c r="AB70" s="272">
        <v>502200</v>
      </c>
      <c r="AC70" s="273">
        <v>89533</v>
      </c>
      <c r="AD70" s="275"/>
      <c r="AE70" s="274">
        <v>428580</v>
      </c>
      <c r="AF70" s="273">
        <v>51813</v>
      </c>
      <c r="AG70" s="275"/>
      <c r="AH70" s="274"/>
      <c r="AI70" s="273"/>
      <c r="AJ70" s="273"/>
      <c r="AK70" s="276" t="s">
        <v>156</v>
      </c>
      <c r="AL70" s="277" t="s">
        <v>106</v>
      </c>
      <c r="AM70" s="287" t="s">
        <v>405</v>
      </c>
      <c r="AN70" s="344"/>
      <c r="AO70" s="335">
        <v>0</v>
      </c>
      <c r="AP70" s="260">
        <v>0</v>
      </c>
      <c r="AQ70" s="336">
        <v>0</v>
      </c>
      <c r="AR70" s="259" t="s">
        <v>412</v>
      </c>
    </row>
    <row r="71" spans="1:44" s="35" customFormat="1" ht="58" x14ac:dyDescent="0.35">
      <c r="A71" s="303" t="s">
        <v>141</v>
      </c>
      <c r="B71" s="285" t="s">
        <v>142</v>
      </c>
      <c r="C71" s="285"/>
      <c r="D71" s="286" t="s">
        <v>143</v>
      </c>
      <c r="E71" s="286" t="s">
        <v>97</v>
      </c>
      <c r="F71" s="286" t="s">
        <v>144</v>
      </c>
      <c r="G71" s="286" t="s">
        <v>121</v>
      </c>
      <c r="H71" s="286" t="s">
        <v>145</v>
      </c>
      <c r="I71" s="286" t="s">
        <v>413</v>
      </c>
      <c r="J71" s="286" t="s">
        <v>147</v>
      </c>
      <c r="K71" s="286">
        <v>2026</v>
      </c>
      <c r="L71" s="286"/>
      <c r="M71" s="286"/>
      <c r="N71" s="286"/>
      <c r="O71" s="286" t="s">
        <v>254</v>
      </c>
      <c r="P71" s="269">
        <f t="shared" si="7"/>
        <v>71230</v>
      </c>
      <c r="Q71" s="270">
        <f t="shared" si="2"/>
        <v>0</v>
      </c>
      <c r="R71" s="271">
        <f t="shared" si="8"/>
        <v>0</v>
      </c>
      <c r="S71" s="271">
        <f t="shared" si="9"/>
        <v>0</v>
      </c>
      <c r="T71" s="271">
        <f t="shared" si="10"/>
        <v>71230</v>
      </c>
      <c r="U71" s="272">
        <f t="shared" si="11"/>
        <v>0</v>
      </c>
      <c r="V71" s="362"/>
      <c r="W71" s="361"/>
      <c r="X71" s="291"/>
      <c r="Y71" s="362"/>
      <c r="Z71" s="361"/>
      <c r="AA71" s="293"/>
      <c r="AB71" s="272"/>
      <c r="AC71" s="273"/>
      <c r="AD71" s="275"/>
      <c r="AE71" s="274">
        <v>62400</v>
      </c>
      <c r="AF71" s="273">
        <v>8830</v>
      </c>
      <c r="AG71" s="275"/>
      <c r="AH71" s="274"/>
      <c r="AI71" s="273"/>
      <c r="AJ71" s="275"/>
      <c r="AK71" s="276" t="s">
        <v>414</v>
      </c>
      <c r="AL71" s="277" t="s">
        <v>136</v>
      </c>
      <c r="AM71" s="287" t="s">
        <v>405</v>
      </c>
      <c r="AN71" s="344"/>
      <c r="AO71" s="335">
        <v>0</v>
      </c>
      <c r="AP71" s="260">
        <v>0</v>
      </c>
      <c r="AQ71" s="336">
        <v>0</v>
      </c>
      <c r="AR71" s="259" t="s">
        <v>409</v>
      </c>
    </row>
    <row r="72" spans="1:44" s="19" customFormat="1" ht="58" x14ac:dyDescent="0.35">
      <c r="A72" s="303" t="s">
        <v>141</v>
      </c>
      <c r="B72" s="285" t="s">
        <v>142</v>
      </c>
      <c r="C72" s="285"/>
      <c r="D72" s="286" t="s">
        <v>143</v>
      </c>
      <c r="E72" s="286" t="s">
        <v>97</v>
      </c>
      <c r="F72" s="288" t="s">
        <v>158</v>
      </c>
      <c r="G72" s="288" t="s">
        <v>121</v>
      </c>
      <c r="H72" s="288" t="s">
        <v>145</v>
      </c>
      <c r="I72" s="289" t="s">
        <v>415</v>
      </c>
      <c r="J72" s="289" t="s">
        <v>147</v>
      </c>
      <c r="K72" s="289">
        <v>2026</v>
      </c>
      <c r="L72" s="288"/>
      <c r="M72" s="288"/>
      <c r="N72" s="288"/>
      <c r="O72" s="286" t="s">
        <v>139</v>
      </c>
      <c r="P72" s="269">
        <f t="shared" si="7"/>
        <v>5000</v>
      </c>
      <c r="Q72" s="270">
        <f t="shared" si="2"/>
        <v>0</v>
      </c>
      <c r="R72" s="271">
        <f t="shared" si="8"/>
        <v>0</v>
      </c>
      <c r="S72" s="271">
        <f t="shared" si="9"/>
        <v>0</v>
      </c>
      <c r="T72" s="271">
        <f t="shared" si="10"/>
        <v>5000</v>
      </c>
      <c r="U72" s="272">
        <f t="shared" si="11"/>
        <v>0</v>
      </c>
      <c r="V72" s="362"/>
      <c r="W72" s="361"/>
      <c r="X72" s="291"/>
      <c r="Y72" s="362"/>
      <c r="Z72" s="361"/>
      <c r="AA72" s="293"/>
      <c r="AB72" s="513"/>
      <c r="AC72" s="514"/>
      <c r="AD72" s="515"/>
      <c r="AE72" s="516"/>
      <c r="AF72" s="514"/>
      <c r="AG72" s="515">
        <v>5000</v>
      </c>
      <c r="AH72" s="516"/>
      <c r="AI72" s="514"/>
      <c r="AJ72" s="515"/>
      <c r="AK72" s="294" t="s">
        <v>151</v>
      </c>
      <c r="AL72" s="277" t="s">
        <v>106</v>
      </c>
      <c r="AM72" s="342" t="s">
        <v>405</v>
      </c>
      <c r="AN72" s="344"/>
      <c r="AO72" s="335">
        <v>0</v>
      </c>
      <c r="AP72" s="260">
        <v>0</v>
      </c>
      <c r="AQ72" s="336">
        <v>0</v>
      </c>
      <c r="AR72" s="259" t="s">
        <v>416</v>
      </c>
    </row>
    <row r="73" spans="1:44" s="19" customFormat="1" ht="58" x14ac:dyDescent="0.35">
      <c r="A73" s="303" t="s">
        <v>141</v>
      </c>
      <c r="B73" s="285" t="s">
        <v>142</v>
      </c>
      <c r="C73" s="285"/>
      <c r="D73" s="286" t="s">
        <v>143</v>
      </c>
      <c r="E73" s="286" t="s">
        <v>97</v>
      </c>
      <c r="F73" s="288" t="s">
        <v>144</v>
      </c>
      <c r="G73" s="288" t="s">
        <v>121</v>
      </c>
      <c r="H73" s="288" t="s">
        <v>145</v>
      </c>
      <c r="I73" s="289" t="s">
        <v>417</v>
      </c>
      <c r="J73" s="289" t="s">
        <v>147</v>
      </c>
      <c r="K73" s="289" t="s">
        <v>418</v>
      </c>
      <c r="L73" s="288"/>
      <c r="M73" s="288"/>
      <c r="N73" s="288"/>
      <c r="O73" s="286" t="s">
        <v>139</v>
      </c>
      <c r="P73" s="269">
        <f t="shared" si="7"/>
        <v>0</v>
      </c>
      <c r="Q73" s="270">
        <f t="shared" si="2"/>
        <v>0</v>
      </c>
      <c r="R73" s="271">
        <f t="shared" si="8"/>
        <v>0</v>
      </c>
      <c r="S73" s="271">
        <f t="shared" si="9"/>
        <v>0</v>
      </c>
      <c r="T73" s="271">
        <f t="shared" si="10"/>
        <v>0</v>
      </c>
      <c r="U73" s="272">
        <f t="shared" si="11"/>
        <v>0</v>
      </c>
      <c r="V73" s="362"/>
      <c r="W73" s="361"/>
      <c r="X73" s="291"/>
      <c r="Y73" s="362"/>
      <c r="Z73" s="361"/>
      <c r="AA73" s="293"/>
      <c r="AB73" s="290"/>
      <c r="AC73" s="291"/>
      <c r="AD73" s="293"/>
      <c r="AE73" s="290"/>
      <c r="AF73" s="291"/>
      <c r="AG73" s="293"/>
      <c r="AH73" s="290"/>
      <c r="AI73" s="291"/>
      <c r="AJ73" s="293"/>
      <c r="AK73" s="294" t="s">
        <v>151</v>
      </c>
      <c r="AL73" s="277" t="s">
        <v>136</v>
      </c>
      <c r="AM73" s="342" t="s">
        <v>405</v>
      </c>
      <c r="AN73" s="344"/>
      <c r="AO73" s="335">
        <v>0</v>
      </c>
      <c r="AP73" s="260">
        <v>0</v>
      </c>
      <c r="AQ73" s="336">
        <v>0</v>
      </c>
      <c r="AR73" s="259" t="s">
        <v>416</v>
      </c>
    </row>
    <row r="74" spans="1:44" s="19" customFormat="1" ht="58" x14ac:dyDescent="0.35">
      <c r="A74" s="303" t="s">
        <v>141</v>
      </c>
      <c r="B74" s="285" t="s">
        <v>142</v>
      </c>
      <c r="C74" s="285"/>
      <c r="D74" s="286" t="s">
        <v>143</v>
      </c>
      <c r="E74" s="286" t="s">
        <v>97</v>
      </c>
      <c r="F74" s="288" t="s">
        <v>158</v>
      </c>
      <c r="G74" s="288" t="s">
        <v>121</v>
      </c>
      <c r="H74" s="288" t="s">
        <v>145</v>
      </c>
      <c r="I74" s="289" t="s">
        <v>159</v>
      </c>
      <c r="J74" s="289" t="s">
        <v>147</v>
      </c>
      <c r="K74" s="289" t="s">
        <v>160</v>
      </c>
      <c r="L74" s="288"/>
      <c r="M74" s="288"/>
      <c r="N74" s="288"/>
      <c r="O74" s="286" t="s">
        <v>104</v>
      </c>
      <c r="P74" s="269">
        <f t="shared" si="7"/>
        <v>10000</v>
      </c>
      <c r="Q74" s="270">
        <f t="shared" si="2"/>
        <v>0</v>
      </c>
      <c r="R74" s="271">
        <f t="shared" si="8"/>
        <v>0</v>
      </c>
      <c r="S74" s="271">
        <f t="shared" si="9"/>
        <v>0</v>
      </c>
      <c r="T74" s="271">
        <f t="shared" si="10"/>
        <v>10000</v>
      </c>
      <c r="U74" s="272">
        <f t="shared" si="11"/>
        <v>0</v>
      </c>
      <c r="V74" s="362"/>
      <c r="W74" s="361"/>
      <c r="X74" s="291"/>
      <c r="Y74" s="362"/>
      <c r="Z74" s="361"/>
      <c r="AA74" s="293"/>
      <c r="AB74" s="290"/>
      <c r="AC74" s="291"/>
      <c r="AD74" s="293"/>
      <c r="AE74" s="290">
        <v>10000</v>
      </c>
      <c r="AF74" s="291"/>
      <c r="AG74" s="293"/>
      <c r="AH74" s="290"/>
      <c r="AI74" s="291"/>
      <c r="AJ74" s="293"/>
      <c r="AK74" s="294" t="s">
        <v>151</v>
      </c>
      <c r="AL74" s="277" t="s">
        <v>136</v>
      </c>
      <c r="AM74" s="342" t="s">
        <v>405</v>
      </c>
      <c r="AN74" s="344"/>
      <c r="AO74" s="335">
        <v>0</v>
      </c>
      <c r="AP74" s="260">
        <v>0</v>
      </c>
      <c r="AQ74" s="336">
        <v>0</v>
      </c>
      <c r="AR74" s="259" t="s">
        <v>419</v>
      </c>
    </row>
    <row r="75" spans="1:44" s="19" customFormat="1" ht="72.5" x14ac:dyDescent="0.35">
      <c r="A75" s="303" t="s">
        <v>141</v>
      </c>
      <c r="B75" s="285" t="s">
        <v>142</v>
      </c>
      <c r="C75" s="285"/>
      <c r="D75" s="286" t="s">
        <v>143</v>
      </c>
      <c r="E75" s="286" t="s">
        <v>97</v>
      </c>
      <c r="F75" s="288" t="s">
        <v>152</v>
      </c>
      <c r="G75" s="288" t="s">
        <v>99</v>
      </c>
      <c r="H75" s="288" t="s">
        <v>145</v>
      </c>
      <c r="I75" s="289" t="s">
        <v>420</v>
      </c>
      <c r="J75" s="289" t="s">
        <v>147</v>
      </c>
      <c r="K75" s="289" t="s">
        <v>408</v>
      </c>
      <c r="L75" s="288"/>
      <c r="M75" s="288"/>
      <c r="N75" s="288"/>
      <c r="O75" s="286" t="s">
        <v>254</v>
      </c>
      <c r="P75" s="269">
        <f t="shared" si="7"/>
        <v>299774</v>
      </c>
      <c r="Q75" s="270">
        <f t="shared" si="2"/>
        <v>0</v>
      </c>
      <c r="R75" s="271">
        <f t="shared" si="8"/>
        <v>0</v>
      </c>
      <c r="S75" s="271">
        <f t="shared" si="9"/>
        <v>0</v>
      </c>
      <c r="T75" s="271">
        <f t="shared" si="10"/>
        <v>137416</v>
      </c>
      <c r="U75" s="272">
        <f t="shared" si="11"/>
        <v>162358</v>
      </c>
      <c r="V75" s="362"/>
      <c r="W75" s="361"/>
      <c r="X75" s="291"/>
      <c r="Y75" s="362"/>
      <c r="Z75" s="361"/>
      <c r="AA75" s="293"/>
      <c r="AB75" s="290"/>
      <c r="AC75" s="291"/>
      <c r="AD75" s="293"/>
      <c r="AE75" s="290"/>
      <c r="AF75" s="291">
        <v>54216</v>
      </c>
      <c r="AG75" s="293">
        <v>83200</v>
      </c>
      <c r="AH75" s="290"/>
      <c r="AI75" s="291">
        <v>56358</v>
      </c>
      <c r="AJ75" s="293">
        <v>106000</v>
      </c>
      <c r="AK75" s="294" t="s">
        <v>404</v>
      </c>
      <c r="AL75" s="277" t="s">
        <v>106</v>
      </c>
      <c r="AM75" s="342" t="s">
        <v>405</v>
      </c>
      <c r="AN75" s="344"/>
      <c r="AO75" s="335">
        <v>0</v>
      </c>
      <c r="AP75" s="260">
        <v>0</v>
      </c>
      <c r="AQ75" s="336">
        <v>0</v>
      </c>
      <c r="AR75" s="259" t="s">
        <v>409</v>
      </c>
    </row>
    <row r="76" spans="1:44" s="19" customFormat="1" ht="72.5" x14ac:dyDescent="0.35">
      <c r="A76" s="303" t="s">
        <v>141</v>
      </c>
      <c r="B76" s="285" t="s">
        <v>142</v>
      </c>
      <c r="C76" s="285"/>
      <c r="D76" s="286" t="s">
        <v>143</v>
      </c>
      <c r="E76" s="286" t="s">
        <v>97</v>
      </c>
      <c r="F76" s="288" t="s">
        <v>152</v>
      </c>
      <c r="G76" s="288" t="s">
        <v>99</v>
      </c>
      <c r="H76" s="288" t="s">
        <v>145</v>
      </c>
      <c r="I76" s="289" t="s">
        <v>161</v>
      </c>
      <c r="J76" s="289" t="s">
        <v>147</v>
      </c>
      <c r="K76" s="289">
        <v>2027</v>
      </c>
      <c r="L76" s="288"/>
      <c r="M76" s="288"/>
      <c r="N76" s="288" t="s">
        <v>155</v>
      </c>
      <c r="O76" s="286" t="s">
        <v>104</v>
      </c>
      <c r="P76" s="269">
        <f t="shared" si="7"/>
        <v>383199</v>
      </c>
      <c r="Q76" s="270">
        <f t="shared" si="2"/>
        <v>0</v>
      </c>
      <c r="R76" s="271">
        <f t="shared" si="8"/>
        <v>0</v>
      </c>
      <c r="S76" s="271">
        <f t="shared" si="9"/>
        <v>0</v>
      </c>
      <c r="T76" s="271">
        <f t="shared" si="10"/>
        <v>0</v>
      </c>
      <c r="U76" s="272">
        <f t="shared" si="11"/>
        <v>383199</v>
      </c>
      <c r="V76" s="362"/>
      <c r="W76" s="361"/>
      <c r="X76" s="291"/>
      <c r="Y76" s="362"/>
      <c r="Z76" s="361"/>
      <c r="AA76" s="293"/>
      <c r="AB76" s="290"/>
      <c r="AC76" s="291"/>
      <c r="AD76" s="293"/>
      <c r="AE76" s="290"/>
      <c r="AF76" s="291"/>
      <c r="AG76" s="293"/>
      <c r="AH76" s="290">
        <v>300800</v>
      </c>
      <c r="AI76" s="291">
        <v>82399</v>
      </c>
      <c r="AJ76" s="293"/>
      <c r="AK76" s="294" t="s">
        <v>151</v>
      </c>
      <c r="AL76" s="277" t="s">
        <v>106</v>
      </c>
      <c r="AM76" s="342" t="s">
        <v>405</v>
      </c>
      <c r="AN76" s="344"/>
      <c r="AO76" s="335">
        <v>0</v>
      </c>
      <c r="AP76" s="260">
        <v>0</v>
      </c>
      <c r="AQ76" s="336">
        <v>0</v>
      </c>
      <c r="AR76" s="259" t="s">
        <v>421</v>
      </c>
    </row>
    <row r="77" spans="1:44" s="19" customFormat="1" ht="159.5" x14ac:dyDescent="0.35">
      <c r="A77" s="303" t="s">
        <v>141</v>
      </c>
      <c r="B77" s="285" t="s">
        <v>142</v>
      </c>
      <c r="C77" s="285"/>
      <c r="D77" s="286" t="s">
        <v>143</v>
      </c>
      <c r="E77" s="286" t="s">
        <v>97</v>
      </c>
      <c r="F77" s="288" t="s">
        <v>144</v>
      </c>
      <c r="G77" s="288" t="s">
        <v>99</v>
      </c>
      <c r="H77" s="288" t="s">
        <v>162</v>
      </c>
      <c r="I77" s="289" t="s">
        <v>163</v>
      </c>
      <c r="J77" s="289" t="s">
        <v>164</v>
      </c>
      <c r="K77" s="289" t="s">
        <v>422</v>
      </c>
      <c r="L77" s="288"/>
      <c r="M77" s="288"/>
      <c r="N77" s="288" t="s">
        <v>155</v>
      </c>
      <c r="O77" s="286" t="s">
        <v>104</v>
      </c>
      <c r="P77" s="269">
        <f t="shared" si="7"/>
        <v>898538</v>
      </c>
      <c r="Q77" s="270">
        <f t="shared" si="2"/>
        <v>125000</v>
      </c>
      <c r="R77" s="271">
        <f t="shared" si="8"/>
        <v>355501</v>
      </c>
      <c r="S77" s="271">
        <f t="shared" si="9"/>
        <v>371269</v>
      </c>
      <c r="T77" s="271">
        <f t="shared" si="10"/>
        <v>33798</v>
      </c>
      <c r="U77" s="272">
        <f t="shared" si="11"/>
        <v>12970</v>
      </c>
      <c r="V77" s="362">
        <v>125000</v>
      </c>
      <c r="W77" s="361"/>
      <c r="X77" s="291"/>
      <c r="Y77" s="362">
        <v>302800</v>
      </c>
      <c r="Z77" s="361">
        <v>52701</v>
      </c>
      <c r="AA77" s="293"/>
      <c r="AB77" s="513">
        <v>323360</v>
      </c>
      <c r="AC77" s="514">
        <v>47909</v>
      </c>
      <c r="AD77" s="515"/>
      <c r="AE77" s="516"/>
      <c r="AF77" s="514">
        <v>33798</v>
      </c>
      <c r="AG77" s="515"/>
      <c r="AH77" s="516"/>
      <c r="AI77" s="514">
        <v>12970</v>
      </c>
      <c r="AJ77" s="515"/>
      <c r="AK77" s="294" t="s">
        <v>151</v>
      </c>
      <c r="AL77" s="277" t="s">
        <v>106</v>
      </c>
      <c r="AM77" s="342" t="s">
        <v>405</v>
      </c>
      <c r="AN77" s="344"/>
      <c r="AO77" s="335">
        <v>0</v>
      </c>
      <c r="AP77" s="260">
        <v>0</v>
      </c>
      <c r="AQ77" s="336">
        <v>0</v>
      </c>
      <c r="AR77" s="259" t="s">
        <v>423</v>
      </c>
    </row>
    <row r="78" spans="1:44" s="19" customFormat="1" ht="145" x14ac:dyDescent="0.35">
      <c r="A78" s="303" t="s">
        <v>141</v>
      </c>
      <c r="B78" s="285" t="s">
        <v>142</v>
      </c>
      <c r="C78" s="285"/>
      <c r="D78" s="286" t="s">
        <v>143</v>
      </c>
      <c r="E78" s="286" t="s">
        <v>97</v>
      </c>
      <c r="F78" s="288" t="s">
        <v>144</v>
      </c>
      <c r="G78" s="288" t="s">
        <v>99</v>
      </c>
      <c r="H78" s="288" t="s">
        <v>162</v>
      </c>
      <c r="I78" s="289" t="s">
        <v>424</v>
      </c>
      <c r="J78" s="289" t="s">
        <v>164</v>
      </c>
      <c r="K78" s="289" t="s">
        <v>425</v>
      </c>
      <c r="L78" s="288"/>
      <c r="M78" s="288"/>
      <c r="N78" s="288"/>
      <c r="O78" s="286" t="s">
        <v>139</v>
      </c>
      <c r="P78" s="269">
        <f t="shared" si="7"/>
        <v>0</v>
      </c>
      <c r="Q78" s="270">
        <f t="shared" si="2"/>
        <v>0</v>
      </c>
      <c r="R78" s="271">
        <f t="shared" si="8"/>
        <v>0</v>
      </c>
      <c r="S78" s="271">
        <f t="shared" si="9"/>
        <v>0</v>
      </c>
      <c r="T78" s="271">
        <f t="shared" si="10"/>
        <v>0</v>
      </c>
      <c r="U78" s="272">
        <f t="shared" si="11"/>
        <v>0</v>
      </c>
      <c r="V78" s="362"/>
      <c r="W78" s="361"/>
      <c r="X78" s="291"/>
      <c r="Y78" s="362"/>
      <c r="Z78" s="361"/>
      <c r="AA78" s="293"/>
      <c r="AB78" s="513"/>
      <c r="AC78" s="514"/>
      <c r="AD78" s="515"/>
      <c r="AE78" s="516"/>
      <c r="AF78" s="514"/>
      <c r="AG78" s="515"/>
      <c r="AH78" s="516"/>
      <c r="AI78" s="514"/>
      <c r="AJ78" s="515"/>
      <c r="AK78" s="294" t="s">
        <v>151</v>
      </c>
      <c r="AL78" s="277" t="s">
        <v>396</v>
      </c>
      <c r="AM78" s="342" t="s">
        <v>405</v>
      </c>
      <c r="AN78" s="344"/>
      <c r="AO78" s="335">
        <v>0</v>
      </c>
      <c r="AP78" s="260">
        <v>0</v>
      </c>
      <c r="AQ78" s="336">
        <v>0</v>
      </c>
      <c r="AR78" s="259" t="s">
        <v>426</v>
      </c>
    </row>
    <row r="79" spans="1:44" s="19" customFormat="1" ht="87" x14ac:dyDescent="0.35">
      <c r="A79" s="303" t="s">
        <v>141</v>
      </c>
      <c r="B79" s="285" t="s">
        <v>142</v>
      </c>
      <c r="C79" s="285"/>
      <c r="D79" s="286" t="s">
        <v>143</v>
      </c>
      <c r="E79" s="286" t="s">
        <v>97</v>
      </c>
      <c r="F79" s="288" t="s">
        <v>144</v>
      </c>
      <c r="G79" s="288" t="s">
        <v>99</v>
      </c>
      <c r="H79" s="288" t="s">
        <v>162</v>
      </c>
      <c r="I79" s="289" t="s">
        <v>427</v>
      </c>
      <c r="J79" s="289" t="s">
        <v>164</v>
      </c>
      <c r="K79" s="289" t="s">
        <v>428</v>
      </c>
      <c r="L79" s="288"/>
      <c r="M79" s="288"/>
      <c r="N79" s="288"/>
      <c r="O79" s="286" t="s">
        <v>139</v>
      </c>
      <c r="P79" s="269">
        <f t="shared" si="7"/>
        <v>0</v>
      </c>
      <c r="Q79" s="270">
        <f t="shared" si="2"/>
        <v>0</v>
      </c>
      <c r="R79" s="271">
        <f t="shared" si="8"/>
        <v>0</v>
      </c>
      <c r="S79" s="271">
        <f t="shared" si="9"/>
        <v>0</v>
      </c>
      <c r="T79" s="271">
        <f t="shared" si="10"/>
        <v>0</v>
      </c>
      <c r="U79" s="272">
        <f t="shared" si="11"/>
        <v>0</v>
      </c>
      <c r="V79" s="362"/>
      <c r="W79" s="361"/>
      <c r="X79" s="291"/>
      <c r="Y79" s="362"/>
      <c r="Z79" s="361"/>
      <c r="AA79" s="293"/>
      <c r="AB79" s="513"/>
      <c r="AC79" s="514"/>
      <c r="AD79" s="515"/>
      <c r="AE79" s="516"/>
      <c r="AF79" s="514"/>
      <c r="AG79" s="515"/>
      <c r="AH79" s="516"/>
      <c r="AI79" s="514"/>
      <c r="AJ79" s="515"/>
      <c r="AK79" s="294" t="s">
        <v>151</v>
      </c>
      <c r="AL79" s="277" t="s">
        <v>136</v>
      </c>
      <c r="AM79" s="342" t="s">
        <v>405</v>
      </c>
      <c r="AN79" s="344"/>
      <c r="AO79" s="335"/>
      <c r="AP79" s="260"/>
      <c r="AQ79" s="336"/>
      <c r="AR79" s="259" t="s">
        <v>429</v>
      </c>
    </row>
    <row r="80" spans="1:44" s="19" customFormat="1" ht="72.5" x14ac:dyDescent="0.35">
      <c r="A80" s="303" t="s">
        <v>141</v>
      </c>
      <c r="B80" s="285" t="s">
        <v>142</v>
      </c>
      <c r="C80" s="285"/>
      <c r="D80" s="286" t="s">
        <v>143</v>
      </c>
      <c r="E80" s="286" t="s">
        <v>97</v>
      </c>
      <c r="F80" s="288" t="s">
        <v>280</v>
      </c>
      <c r="G80" s="288" t="s">
        <v>99</v>
      </c>
      <c r="H80" s="288" t="s">
        <v>162</v>
      </c>
      <c r="I80" s="289" t="s">
        <v>420</v>
      </c>
      <c r="J80" s="289" t="s">
        <v>164</v>
      </c>
      <c r="K80" s="289" t="s">
        <v>430</v>
      </c>
      <c r="L80" s="288"/>
      <c r="M80" s="288"/>
      <c r="N80" s="288"/>
      <c r="O80" s="286" t="s">
        <v>254</v>
      </c>
      <c r="P80" s="269">
        <f t="shared" si="7"/>
        <v>276353</v>
      </c>
      <c r="Q80" s="270">
        <f t="shared" si="2"/>
        <v>0</v>
      </c>
      <c r="R80" s="271">
        <f t="shared" si="8"/>
        <v>0</v>
      </c>
      <c r="S80" s="271">
        <f t="shared" si="9"/>
        <v>77625</v>
      </c>
      <c r="T80" s="271">
        <f t="shared" si="10"/>
        <v>79327</v>
      </c>
      <c r="U80" s="272">
        <f t="shared" si="11"/>
        <v>119401</v>
      </c>
      <c r="V80" s="362"/>
      <c r="W80" s="361"/>
      <c r="X80" s="291"/>
      <c r="Y80" s="362"/>
      <c r="Z80" s="361"/>
      <c r="AA80" s="293"/>
      <c r="AB80" s="513"/>
      <c r="AC80" s="514">
        <v>15625</v>
      </c>
      <c r="AD80" s="515">
        <v>62000</v>
      </c>
      <c r="AE80" s="516"/>
      <c r="AF80" s="514">
        <v>16327</v>
      </c>
      <c r="AG80" s="515">
        <v>63000</v>
      </c>
      <c r="AH80" s="516"/>
      <c r="AI80" s="514">
        <v>17001</v>
      </c>
      <c r="AJ80" s="515">
        <v>102400</v>
      </c>
      <c r="AK80" s="294" t="s">
        <v>173</v>
      </c>
      <c r="AL80" s="277" t="s">
        <v>136</v>
      </c>
      <c r="AM80" s="342" t="s">
        <v>405</v>
      </c>
      <c r="AN80" s="344"/>
      <c r="AO80" s="335">
        <v>0</v>
      </c>
      <c r="AP80" s="260">
        <v>0</v>
      </c>
      <c r="AQ80" s="336">
        <v>0</v>
      </c>
      <c r="AR80" s="259" t="s">
        <v>409</v>
      </c>
    </row>
    <row r="81" spans="1:44" s="19" customFormat="1" ht="101.5" x14ac:dyDescent="0.35">
      <c r="A81" s="303" t="s">
        <v>141</v>
      </c>
      <c r="B81" s="285" t="s">
        <v>142</v>
      </c>
      <c r="C81" s="285"/>
      <c r="D81" s="286" t="s">
        <v>143</v>
      </c>
      <c r="E81" s="286" t="s">
        <v>97</v>
      </c>
      <c r="F81" s="288" t="s">
        <v>158</v>
      </c>
      <c r="G81" s="288" t="s">
        <v>99</v>
      </c>
      <c r="H81" s="288" t="s">
        <v>168</v>
      </c>
      <c r="I81" s="289" t="s">
        <v>431</v>
      </c>
      <c r="J81" s="289" t="s">
        <v>170</v>
      </c>
      <c r="K81" s="289" t="s">
        <v>432</v>
      </c>
      <c r="L81" s="288"/>
      <c r="M81" s="288"/>
      <c r="N81" s="288"/>
      <c r="O81" s="286" t="s">
        <v>279</v>
      </c>
      <c r="P81" s="269">
        <f t="shared" ref="P81:P118" si="12">SUM(Q81:U81)</f>
        <v>49823</v>
      </c>
      <c r="Q81" s="270">
        <f t="shared" ref="Q81:Q118" si="13">SUM(V81:X81)</f>
        <v>49823</v>
      </c>
      <c r="R81" s="271">
        <f t="shared" ref="R81:R118" si="14">SUM(Y81:AA81)</f>
        <v>0</v>
      </c>
      <c r="S81" s="271">
        <f t="shared" ref="S81:S118" si="15">SUM(AB81:AD81)</f>
        <v>0</v>
      </c>
      <c r="T81" s="271">
        <f t="shared" ref="T81:T118" si="16">SUM(AE81:AG81)</f>
        <v>0</v>
      </c>
      <c r="U81" s="272">
        <f t="shared" ref="U81:U118" si="17">SUM(AH81:AJ81)</f>
        <v>0</v>
      </c>
      <c r="V81" s="362">
        <v>49823</v>
      </c>
      <c r="W81" s="361"/>
      <c r="X81" s="291"/>
      <c r="Y81" s="362"/>
      <c r="Z81" s="361"/>
      <c r="AA81" s="293"/>
      <c r="AB81" s="513"/>
      <c r="AC81" s="514"/>
      <c r="AD81" s="515"/>
      <c r="AE81" s="516"/>
      <c r="AF81" s="514"/>
      <c r="AG81" s="515"/>
      <c r="AH81" s="516"/>
      <c r="AI81" s="514"/>
      <c r="AJ81" s="515"/>
      <c r="AK81" s="294" t="s">
        <v>173</v>
      </c>
      <c r="AL81" s="277" t="s">
        <v>136</v>
      </c>
      <c r="AM81" s="342" t="s">
        <v>405</v>
      </c>
      <c r="AN81" s="344"/>
      <c r="AO81" s="335">
        <v>49823</v>
      </c>
      <c r="AP81" s="260"/>
      <c r="AQ81" s="336"/>
      <c r="AR81" s="259" t="s">
        <v>433</v>
      </c>
    </row>
    <row r="82" spans="1:44" s="19" customFormat="1" ht="72.5" x14ac:dyDescent="0.35">
      <c r="A82" s="303" t="s">
        <v>141</v>
      </c>
      <c r="B82" s="285" t="s">
        <v>142</v>
      </c>
      <c r="C82" s="285"/>
      <c r="D82" s="286" t="s">
        <v>143</v>
      </c>
      <c r="E82" s="286" t="s">
        <v>97</v>
      </c>
      <c r="F82" s="288" t="s">
        <v>158</v>
      </c>
      <c r="G82" s="288" t="s">
        <v>99</v>
      </c>
      <c r="H82" s="288" t="s">
        <v>168</v>
      </c>
      <c r="I82" s="289" t="s">
        <v>169</v>
      </c>
      <c r="J82" s="289" t="s">
        <v>170</v>
      </c>
      <c r="K82" s="289" t="s">
        <v>434</v>
      </c>
      <c r="L82" s="288"/>
      <c r="M82" s="288"/>
      <c r="N82" s="288" t="s">
        <v>155</v>
      </c>
      <c r="O82" s="286" t="s">
        <v>104</v>
      </c>
      <c r="P82" s="269">
        <f t="shared" si="12"/>
        <v>1735554</v>
      </c>
      <c r="Q82" s="270">
        <f t="shared" si="13"/>
        <v>128000</v>
      </c>
      <c r="R82" s="271">
        <f t="shared" si="14"/>
        <v>667479</v>
      </c>
      <c r="S82" s="271">
        <f t="shared" si="15"/>
        <v>534780</v>
      </c>
      <c r="T82" s="271">
        <f t="shared" si="16"/>
        <v>405295</v>
      </c>
      <c r="U82" s="272">
        <f t="shared" si="17"/>
        <v>0</v>
      </c>
      <c r="V82" s="362">
        <v>128000</v>
      </c>
      <c r="W82" s="361">
        <v>0</v>
      </c>
      <c r="X82" s="291">
        <v>0</v>
      </c>
      <c r="Y82" s="362">
        <v>610000</v>
      </c>
      <c r="Z82" s="361">
        <v>57479</v>
      </c>
      <c r="AA82" s="293">
        <v>0</v>
      </c>
      <c r="AB82" s="513">
        <v>464200</v>
      </c>
      <c r="AC82" s="514">
        <v>70580</v>
      </c>
      <c r="AD82" s="515">
        <v>0</v>
      </c>
      <c r="AE82" s="516">
        <v>331540</v>
      </c>
      <c r="AF82" s="514">
        <v>73755</v>
      </c>
      <c r="AG82" s="515">
        <v>0</v>
      </c>
      <c r="AH82" s="516"/>
      <c r="AI82" s="514"/>
      <c r="AJ82" s="515">
        <v>0</v>
      </c>
      <c r="AK82" s="294" t="s">
        <v>173</v>
      </c>
      <c r="AL82" s="277" t="s">
        <v>106</v>
      </c>
      <c r="AM82" s="342" t="s">
        <v>405</v>
      </c>
      <c r="AN82" s="344"/>
      <c r="AO82" s="335">
        <v>0</v>
      </c>
      <c r="AP82" s="260">
        <v>0</v>
      </c>
      <c r="AQ82" s="336">
        <v>0</v>
      </c>
      <c r="AR82" s="259" t="s">
        <v>411</v>
      </c>
    </row>
    <row r="83" spans="1:44" s="19" customFormat="1" ht="72.5" x14ac:dyDescent="0.35">
      <c r="A83" s="303" t="s">
        <v>141</v>
      </c>
      <c r="B83" s="285" t="s">
        <v>142</v>
      </c>
      <c r="C83" s="285"/>
      <c r="D83" s="286" t="s">
        <v>143</v>
      </c>
      <c r="E83" s="286" t="s">
        <v>97</v>
      </c>
      <c r="F83" s="288" t="s">
        <v>158</v>
      </c>
      <c r="G83" s="288" t="s">
        <v>99</v>
      </c>
      <c r="H83" s="288" t="s">
        <v>168</v>
      </c>
      <c r="I83" s="289" t="s">
        <v>435</v>
      </c>
      <c r="J83" s="289" t="s">
        <v>170</v>
      </c>
      <c r="K83" s="289"/>
      <c r="L83" s="288"/>
      <c r="M83" s="288"/>
      <c r="N83" s="288"/>
      <c r="O83" s="286" t="s">
        <v>254</v>
      </c>
      <c r="P83" s="269">
        <f t="shared" si="12"/>
        <v>73123</v>
      </c>
      <c r="Q83" s="270">
        <f t="shared" si="13"/>
        <v>0</v>
      </c>
      <c r="R83" s="271">
        <f t="shared" si="14"/>
        <v>0</v>
      </c>
      <c r="S83" s="271">
        <f t="shared" si="15"/>
        <v>0</v>
      </c>
      <c r="T83" s="271">
        <f t="shared" si="16"/>
        <v>0</v>
      </c>
      <c r="U83" s="272">
        <f t="shared" si="17"/>
        <v>73123</v>
      </c>
      <c r="V83" s="362"/>
      <c r="W83" s="361"/>
      <c r="X83" s="291"/>
      <c r="Y83" s="362"/>
      <c r="Z83" s="361"/>
      <c r="AA83" s="293"/>
      <c r="AB83" s="513"/>
      <c r="AC83" s="514"/>
      <c r="AD83" s="515"/>
      <c r="AE83" s="516"/>
      <c r="AF83" s="514"/>
      <c r="AG83" s="515"/>
      <c r="AH83" s="516">
        <v>58300</v>
      </c>
      <c r="AI83" s="514">
        <v>14823</v>
      </c>
      <c r="AJ83" s="515"/>
      <c r="AK83" s="294" t="s">
        <v>173</v>
      </c>
      <c r="AL83" s="277" t="s">
        <v>396</v>
      </c>
      <c r="AM83" s="342" t="s">
        <v>405</v>
      </c>
      <c r="AN83" s="344"/>
      <c r="AO83" s="335">
        <v>0</v>
      </c>
      <c r="AP83" s="260">
        <v>0</v>
      </c>
      <c r="AQ83" s="336">
        <v>0</v>
      </c>
      <c r="AR83" s="259" t="s">
        <v>409</v>
      </c>
    </row>
    <row r="84" spans="1:44" s="19" customFormat="1" ht="72.5" x14ac:dyDescent="0.35">
      <c r="A84" s="303" t="s">
        <v>141</v>
      </c>
      <c r="B84" s="285" t="s">
        <v>142</v>
      </c>
      <c r="C84" s="285"/>
      <c r="D84" s="286" t="s">
        <v>143</v>
      </c>
      <c r="E84" s="286" t="s">
        <v>97</v>
      </c>
      <c r="F84" s="288" t="s">
        <v>158</v>
      </c>
      <c r="G84" s="288" t="s">
        <v>99</v>
      </c>
      <c r="H84" s="288" t="s">
        <v>168</v>
      </c>
      <c r="I84" s="289" t="s">
        <v>436</v>
      </c>
      <c r="J84" s="289" t="s">
        <v>170</v>
      </c>
      <c r="K84" s="289" t="s">
        <v>437</v>
      </c>
      <c r="L84" s="288"/>
      <c r="M84" s="288"/>
      <c r="N84" s="288"/>
      <c r="O84" s="286" t="s">
        <v>254</v>
      </c>
      <c r="P84" s="269">
        <f t="shared" si="12"/>
        <v>15000</v>
      </c>
      <c r="Q84" s="270">
        <f t="shared" si="13"/>
        <v>0</v>
      </c>
      <c r="R84" s="271">
        <f t="shared" si="14"/>
        <v>0</v>
      </c>
      <c r="S84" s="271">
        <f t="shared" si="15"/>
        <v>5000</v>
      </c>
      <c r="T84" s="271">
        <f t="shared" si="16"/>
        <v>5000</v>
      </c>
      <c r="U84" s="272">
        <f t="shared" si="17"/>
        <v>5000</v>
      </c>
      <c r="V84" s="362"/>
      <c r="W84" s="361"/>
      <c r="X84" s="291"/>
      <c r="Y84" s="362"/>
      <c r="Z84" s="361"/>
      <c r="AA84" s="293"/>
      <c r="AB84" s="513">
        <v>5000</v>
      </c>
      <c r="AC84" s="514"/>
      <c r="AD84" s="515"/>
      <c r="AE84" s="516">
        <v>5000</v>
      </c>
      <c r="AF84" s="514"/>
      <c r="AG84" s="515"/>
      <c r="AH84" s="516">
        <v>5000</v>
      </c>
      <c r="AI84" s="514"/>
      <c r="AJ84" s="515"/>
      <c r="AK84" s="294" t="s">
        <v>182</v>
      </c>
      <c r="AL84" s="277" t="s">
        <v>106</v>
      </c>
      <c r="AM84" s="342" t="s">
        <v>405</v>
      </c>
      <c r="AN84" s="344"/>
      <c r="AO84" s="335">
        <v>0</v>
      </c>
      <c r="AP84" s="260">
        <v>0</v>
      </c>
      <c r="AQ84" s="336">
        <v>0</v>
      </c>
      <c r="AR84" s="259" t="s">
        <v>409</v>
      </c>
    </row>
    <row r="85" spans="1:44" s="19" customFormat="1" ht="72.5" x14ac:dyDescent="0.35">
      <c r="A85" s="303" t="s">
        <v>141</v>
      </c>
      <c r="B85" s="285" t="s">
        <v>142</v>
      </c>
      <c r="C85" s="285"/>
      <c r="D85" s="286" t="s">
        <v>143</v>
      </c>
      <c r="E85" s="286" t="s">
        <v>97</v>
      </c>
      <c r="F85" s="288" t="s">
        <v>158</v>
      </c>
      <c r="G85" s="288" t="s">
        <v>99</v>
      </c>
      <c r="H85" s="288" t="s">
        <v>168</v>
      </c>
      <c r="I85" s="289" t="s">
        <v>417</v>
      </c>
      <c r="J85" s="289" t="s">
        <v>170</v>
      </c>
      <c r="K85" s="289" t="s">
        <v>438</v>
      </c>
      <c r="L85" s="288"/>
      <c r="M85" s="288"/>
      <c r="N85" s="288"/>
      <c r="O85" s="286" t="s">
        <v>139</v>
      </c>
      <c r="P85" s="269">
        <f t="shared" si="12"/>
        <v>0</v>
      </c>
      <c r="Q85" s="270">
        <f t="shared" si="13"/>
        <v>0</v>
      </c>
      <c r="R85" s="271">
        <f t="shared" si="14"/>
        <v>0</v>
      </c>
      <c r="S85" s="271">
        <f t="shared" si="15"/>
        <v>0</v>
      </c>
      <c r="T85" s="271">
        <f t="shared" si="16"/>
        <v>0</v>
      </c>
      <c r="U85" s="272">
        <f t="shared" si="17"/>
        <v>0</v>
      </c>
      <c r="V85" s="362"/>
      <c r="W85" s="361"/>
      <c r="X85" s="291"/>
      <c r="Y85" s="362"/>
      <c r="Z85" s="361"/>
      <c r="AA85" s="293"/>
      <c r="AB85" s="513"/>
      <c r="AC85" s="514"/>
      <c r="AD85" s="515"/>
      <c r="AE85" s="516"/>
      <c r="AF85" s="514"/>
      <c r="AG85" s="515"/>
      <c r="AH85" s="516"/>
      <c r="AI85" s="514"/>
      <c r="AJ85" s="515"/>
      <c r="AK85" s="294" t="s">
        <v>182</v>
      </c>
      <c r="AL85" s="277" t="s">
        <v>136</v>
      </c>
      <c r="AM85" s="342" t="s">
        <v>405</v>
      </c>
      <c r="AN85" s="344"/>
      <c r="AO85" s="335"/>
      <c r="AP85" s="260"/>
      <c r="AQ85" s="336"/>
      <c r="AR85" s="259" t="s">
        <v>439</v>
      </c>
    </row>
    <row r="86" spans="1:44" s="19" customFormat="1" ht="72.5" x14ac:dyDescent="0.35">
      <c r="A86" s="303" t="s">
        <v>141</v>
      </c>
      <c r="B86" s="285" t="s">
        <v>142</v>
      </c>
      <c r="C86" s="285"/>
      <c r="D86" s="286" t="s">
        <v>143</v>
      </c>
      <c r="E86" s="286" t="s">
        <v>97</v>
      </c>
      <c r="F86" s="288" t="s">
        <v>158</v>
      </c>
      <c r="G86" s="288" t="s">
        <v>99</v>
      </c>
      <c r="H86" s="288" t="s">
        <v>168</v>
      </c>
      <c r="I86" s="289" t="s">
        <v>420</v>
      </c>
      <c r="J86" s="289" t="s">
        <v>170</v>
      </c>
      <c r="K86" s="289"/>
      <c r="L86" s="288"/>
      <c r="M86" s="288"/>
      <c r="N86" s="288"/>
      <c r="O86" s="286" t="s">
        <v>254</v>
      </c>
      <c r="P86" s="269">
        <f t="shared" si="12"/>
        <v>181866</v>
      </c>
      <c r="Q86" s="270">
        <f t="shared" si="13"/>
        <v>0</v>
      </c>
      <c r="R86" s="271">
        <f t="shared" si="14"/>
        <v>0</v>
      </c>
      <c r="S86" s="271">
        <f t="shared" si="15"/>
        <v>0</v>
      </c>
      <c r="T86" s="271">
        <f t="shared" si="16"/>
        <v>79152</v>
      </c>
      <c r="U86" s="272">
        <f t="shared" si="17"/>
        <v>102714</v>
      </c>
      <c r="V86" s="362"/>
      <c r="W86" s="361"/>
      <c r="X86" s="291"/>
      <c r="Y86" s="362"/>
      <c r="Z86" s="361"/>
      <c r="AA86" s="293"/>
      <c r="AB86" s="513"/>
      <c r="AC86" s="514"/>
      <c r="AD86" s="515"/>
      <c r="AE86" s="516"/>
      <c r="AF86" s="514">
        <v>27152</v>
      </c>
      <c r="AG86" s="515">
        <v>52000</v>
      </c>
      <c r="AH86" s="516"/>
      <c r="AI86" s="514">
        <v>33814</v>
      </c>
      <c r="AJ86" s="515">
        <v>68900</v>
      </c>
      <c r="AK86" s="294" t="s">
        <v>182</v>
      </c>
      <c r="AL86" s="277" t="s">
        <v>136</v>
      </c>
      <c r="AM86" s="342" t="s">
        <v>405</v>
      </c>
      <c r="AN86" s="344"/>
      <c r="AO86" s="335">
        <v>0</v>
      </c>
      <c r="AP86" s="260">
        <v>0</v>
      </c>
      <c r="AQ86" s="336">
        <v>0</v>
      </c>
      <c r="AR86" s="259" t="s">
        <v>409</v>
      </c>
    </row>
    <row r="87" spans="1:44" s="19" customFormat="1" ht="72.5" x14ac:dyDescent="0.35">
      <c r="A87" s="303" t="s">
        <v>141</v>
      </c>
      <c r="B87" s="285" t="s">
        <v>142</v>
      </c>
      <c r="C87" s="285"/>
      <c r="D87" s="286" t="s">
        <v>143</v>
      </c>
      <c r="E87" s="286" t="s">
        <v>97</v>
      </c>
      <c r="F87" s="288" t="s">
        <v>158</v>
      </c>
      <c r="G87" s="288" t="s">
        <v>99</v>
      </c>
      <c r="H87" s="288" t="s">
        <v>168</v>
      </c>
      <c r="I87" s="289" t="s">
        <v>440</v>
      </c>
      <c r="J87" s="289" t="s">
        <v>170</v>
      </c>
      <c r="K87" s="289"/>
      <c r="L87" s="288"/>
      <c r="M87" s="288"/>
      <c r="N87" s="288"/>
      <c r="O87" s="286" t="s">
        <v>254</v>
      </c>
      <c r="P87" s="269">
        <f t="shared" si="12"/>
        <v>70210</v>
      </c>
      <c r="Q87" s="270">
        <f t="shared" si="13"/>
        <v>0</v>
      </c>
      <c r="R87" s="271">
        <f t="shared" si="14"/>
        <v>0</v>
      </c>
      <c r="S87" s="271">
        <f t="shared" si="15"/>
        <v>0</v>
      </c>
      <c r="T87" s="271">
        <f t="shared" si="16"/>
        <v>0</v>
      </c>
      <c r="U87" s="272">
        <f t="shared" si="17"/>
        <v>70210</v>
      </c>
      <c r="V87" s="362"/>
      <c r="W87" s="361"/>
      <c r="X87" s="291"/>
      <c r="Y87" s="362"/>
      <c r="Z87" s="361"/>
      <c r="AA87" s="293"/>
      <c r="AB87" s="513"/>
      <c r="AC87" s="514"/>
      <c r="AD87" s="515"/>
      <c r="AE87" s="516"/>
      <c r="AF87" s="514"/>
      <c r="AG87" s="515"/>
      <c r="AH87" s="516">
        <v>60800</v>
      </c>
      <c r="AI87" s="514">
        <v>9410</v>
      </c>
      <c r="AJ87" s="515"/>
      <c r="AK87" s="294" t="s">
        <v>441</v>
      </c>
      <c r="AL87" s="277" t="s">
        <v>106</v>
      </c>
      <c r="AM87" s="342" t="s">
        <v>405</v>
      </c>
      <c r="AN87" s="344"/>
      <c r="AO87" s="335">
        <v>0</v>
      </c>
      <c r="AP87" s="260">
        <v>0</v>
      </c>
      <c r="AQ87" s="336">
        <v>0</v>
      </c>
      <c r="AR87" s="259" t="s">
        <v>409</v>
      </c>
    </row>
    <row r="88" spans="1:44" s="19" customFormat="1" ht="275.5" x14ac:dyDescent="0.35">
      <c r="A88" s="303" t="s">
        <v>174</v>
      </c>
      <c r="B88" s="285" t="s">
        <v>175</v>
      </c>
      <c r="C88" s="285"/>
      <c r="D88" s="286" t="s">
        <v>176</v>
      </c>
      <c r="E88" s="286" t="s">
        <v>97</v>
      </c>
      <c r="F88" s="288" t="s">
        <v>144</v>
      </c>
      <c r="G88" s="288" t="s">
        <v>99</v>
      </c>
      <c r="H88" s="288" t="s">
        <v>177</v>
      </c>
      <c r="I88" s="289" t="s">
        <v>178</v>
      </c>
      <c r="J88" s="289" t="s">
        <v>442</v>
      </c>
      <c r="K88" s="289" t="s">
        <v>443</v>
      </c>
      <c r="L88" s="288"/>
      <c r="M88" s="288"/>
      <c r="N88" s="288" t="s">
        <v>444</v>
      </c>
      <c r="O88" s="286" t="s">
        <v>139</v>
      </c>
      <c r="P88" s="269">
        <f t="shared" si="12"/>
        <v>100000</v>
      </c>
      <c r="Q88" s="270">
        <f t="shared" si="13"/>
        <v>100000</v>
      </c>
      <c r="R88" s="271">
        <f t="shared" si="14"/>
        <v>0</v>
      </c>
      <c r="S88" s="271">
        <f t="shared" si="15"/>
        <v>0</v>
      </c>
      <c r="T88" s="271">
        <f t="shared" si="16"/>
        <v>0</v>
      </c>
      <c r="U88" s="272">
        <f t="shared" si="17"/>
        <v>0</v>
      </c>
      <c r="V88" s="362">
        <v>100000</v>
      </c>
      <c r="W88" s="361"/>
      <c r="X88" s="291"/>
      <c r="Y88" s="362"/>
      <c r="Z88" s="361"/>
      <c r="AA88" s="293"/>
      <c r="AB88" s="513"/>
      <c r="AC88" s="514"/>
      <c r="AD88" s="515"/>
      <c r="AE88" s="516"/>
      <c r="AF88" s="514"/>
      <c r="AG88" s="515"/>
      <c r="AH88" s="516"/>
      <c r="AI88" s="514"/>
      <c r="AJ88" s="515"/>
      <c r="AK88" s="294" t="s">
        <v>182</v>
      </c>
      <c r="AL88" s="277" t="s">
        <v>106</v>
      </c>
      <c r="AM88" s="342" t="s">
        <v>405</v>
      </c>
      <c r="AN88" s="344"/>
      <c r="AO88" s="335">
        <v>0</v>
      </c>
      <c r="AP88" s="260">
        <v>0</v>
      </c>
      <c r="AQ88" s="336">
        <v>0</v>
      </c>
      <c r="AR88" s="259" t="s">
        <v>445</v>
      </c>
    </row>
    <row r="89" spans="1:44" s="19" customFormat="1" ht="261" x14ac:dyDescent="0.35">
      <c r="A89" s="303" t="s">
        <v>174</v>
      </c>
      <c r="B89" s="285" t="s">
        <v>175</v>
      </c>
      <c r="C89" s="285"/>
      <c r="D89" s="286" t="s">
        <v>176</v>
      </c>
      <c r="E89" s="286" t="s">
        <v>97</v>
      </c>
      <c r="F89" s="288" t="s">
        <v>144</v>
      </c>
      <c r="G89" s="288" t="s">
        <v>99</v>
      </c>
      <c r="H89" s="288" t="s">
        <v>177</v>
      </c>
      <c r="I89" s="289" t="s">
        <v>178</v>
      </c>
      <c r="J89" s="289" t="s">
        <v>179</v>
      </c>
      <c r="K89" s="289" t="s">
        <v>446</v>
      </c>
      <c r="L89" s="288"/>
      <c r="M89" s="288"/>
      <c r="N89" s="288"/>
      <c r="O89" s="286" t="s">
        <v>104</v>
      </c>
      <c r="P89" s="269">
        <f t="shared" si="12"/>
        <v>844973</v>
      </c>
      <c r="Q89" s="270">
        <f t="shared" si="13"/>
        <v>0</v>
      </c>
      <c r="R89" s="271">
        <f t="shared" si="14"/>
        <v>233154</v>
      </c>
      <c r="S89" s="271">
        <f t="shared" si="15"/>
        <v>260805</v>
      </c>
      <c r="T89" s="271">
        <f t="shared" si="16"/>
        <v>267030</v>
      </c>
      <c r="U89" s="272">
        <f t="shared" si="17"/>
        <v>83984</v>
      </c>
      <c r="V89" s="362"/>
      <c r="W89" s="361"/>
      <c r="X89" s="291"/>
      <c r="Y89" s="362">
        <v>183000</v>
      </c>
      <c r="Z89" s="361">
        <v>50154</v>
      </c>
      <c r="AA89" s="293"/>
      <c r="AB89" s="513">
        <v>186000</v>
      </c>
      <c r="AC89" s="514">
        <v>74805</v>
      </c>
      <c r="AD89" s="515"/>
      <c r="AE89" s="516">
        <v>202160</v>
      </c>
      <c r="AF89" s="514">
        <v>64870</v>
      </c>
      <c r="AG89" s="515"/>
      <c r="AH89" s="516">
        <v>50350</v>
      </c>
      <c r="AI89" s="514">
        <v>33634</v>
      </c>
      <c r="AJ89" s="515"/>
      <c r="AK89" s="294" t="s">
        <v>182</v>
      </c>
      <c r="AL89" s="277" t="s">
        <v>396</v>
      </c>
      <c r="AM89" s="342" t="s">
        <v>405</v>
      </c>
      <c r="AN89" s="344"/>
      <c r="AO89" s="335">
        <v>0</v>
      </c>
      <c r="AP89" s="260">
        <v>0</v>
      </c>
      <c r="AQ89" s="336">
        <v>0</v>
      </c>
      <c r="AR89" s="259" t="s">
        <v>447</v>
      </c>
    </row>
    <row r="90" spans="1:44" s="19" customFormat="1" ht="72.5" x14ac:dyDescent="0.35">
      <c r="A90" s="303" t="s">
        <v>174</v>
      </c>
      <c r="B90" s="285" t="s">
        <v>175</v>
      </c>
      <c r="C90" s="285"/>
      <c r="D90" s="286" t="s">
        <v>176</v>
      </c>
      <c r="E90" s="286" t="s">
        <v>97</v>
      </c>
      <c r="F90" s="288" t="s">
        <v>144</v>
      </c>
      <c r="G90" s="288" t="s">
        <v>99</v>
      </c>
      <c r="H90" s="288" t="s">
        <v>177</v>
      </c>
      <c r="I90" s="289" t="s">
        <v>448</v>
      </c>
      <c r="J90" s="289" t="s">
        <v>449</v>
      </c>
      <c r="K90" s="289" t="s">
        <v>450</v>
      </c>
      <c r="L90" s="288"/>
      <c r="M90" s="288"/>
      <c r="N90" s="288"/>
      <c r="O90" s="286" t="s">
        <v>254</v>
      </c>
      <c r="P90" s="269">
        <f t="shared" si="12"/>
        <v>260000</v>
      </c>
      <c r="Q90" s="270">
        <f t="shared" si="13"/>
        <v>0</v>
      </c>
      <c r="R90" s="271">
        <f t="shared" si="14"/>
        <v>0</v>
      </c>
      <c r="S90" s="271">
        <f t="shared" si="15"/>
        <v>60000</v>
      </c>
      <c r="T90" s="271">
        <f t="shared" si="16"/>
        <v>90000</v>
      </c>
      <c r="U90" s="272">
        <f t="shared" si="17"/>
        <v>110000</v>
      </c>
      <c r="V90" s="362"/>
      <c r="W90" s="361"/>
      <c r="X90" s="291"/>
      <c r="Y90" s="362"/>
      <c r="Z90" s="361"/>
      <c r="AA90" s="293"/>
      <c r="AB90" s="513"/>
      <c r="AC90" s="514">
        <v>20000</v>
      </c>
      <c r="AD90" s="515">
        <v>40000</v>
      </c>
      <c r="AE90" s="516"/>
      <c r="AF90" s="514">
        <v>30000</v>
      </c>
      <c r="AG90" s="515">
        <v>60000</v>
      </c>
      <c r="AH90" s="516"/>
      <c r="AI90" s="514">
        <v>40000</v>
      </c>
      <c r="AJ90" s="515">
        <v>70000</v>
      </c>
      <c r="AK90" s="294" t="s">
        <v>182</v>
      </c>
      <c r="AL90" s="277" t="s">
        <v>106</v>
      </c>
      <c r="AM90" s="342" t="s">
        <v>405</v>
      </c>
      <c r="AN90" s="344"/>
      <c r="AO90" s="335">
        <v>0</v>
      </c>
      <c r="AP90" s="260">
        <v>0</v>
      </c>
      <c r="AQ90" s="336">
        <v>0</v>
      </c>
      <c r="AR90" s="259" t="s">
        <v>409</v>
      </c>
    </row>
    <row r="91" spans="1:44" s="19" customFormat="1" ht="333.5" x14ac:dyDescent="0.35">
      <c r="A91" s="303" t="s">
        <v>184</v>
      </c>
      <c r="B91" s="285" t="s">
        <v>185</v>
      </c>
      <c r="C91" s="285"/>
      <c r="D91" s="286"/>
      <c r="E91" s="286" t="s">
        <v>97</v>
      </c>
      <c r="F91" s="288" t="s">
        <v>144</v>
      </c>
      <c r="G91" s="288" t="s">
        <v>99</v>
      </c>
      <c r="H91" s="288"/>
      <c r="I91" s="289" t="s">
        <v>187</v>
      </c>
      <c r="J91" s="289" t="s">
        <v>188</v>
      </c>
      <c r="K91" s="289" t="s">
        <v>451</v>
      </c>
      <c r="L91" s="288"/>
      <c r="M91" s="288"/>
      <c r="N91" s="288"/>
      <c r="O91" s="286" t="s">
        <v>104</v>
      </c>
      <c r="P91" s="269">
        <f t="shared" si="12"/>
        <v>552573</v>
      </c>
      <c r="Q91" s="270">
        <f t="shared" si="13"/>
        <v>73416</v>
      </c>
      <c r="R91" s="271">
        <f t="shared" si="14"/>
        <v>340894</v>
      </c>
      <c r="S91" s="271">
        <f t="shared" si="15"/>
        <v>124733</v>
      </c>
      <c r="T91" s="271">
        <f t="shared" si="16"/>
        <v>10240</v>
      </c>
      <c r="U91" s="272">
        <f t="shared" si="17"/>
        <v>3290</v>
      </c>
      <c r="V91" s="362">
        <v>36000</v>
      </c>
      <c r="W91" s="361">
        <v>37416</v>
      </c>
      <c r="X91" s="291"/>
      <c r="Y91" s="362">
        <v>217430</v>
      </c>
      <c r="Z91" s="361">
        <v>123464</v>
      </c>
      <c r="AA91" s="293"/>
      <c r="AB91" s="513">
        <v>97480</v>
      </c>
      <c r="AC91" s="514">
        <v>27253</v>
      </c>
      <c r="AD91" s="515"/>
      <c r="AE91" s="516">
        <v>10240</v>
      </c>
      <c r="AF91" s="514"/>
      <c r="AG91" s="515"/>
      <c r="AH91" s="516">
        <v>3290</v>
      </c>
      <c r="AI91" s="514"/>
      <c r="AJ91" s="515"/>
      <c r="AK91" s="294" t="s">
        <v>190</v>
      </c>
      <c r="AL91" s="277" t="s">
        <v>136</v>
      </c>
      <c r="AM91" s="342"/>
      <c r="AN91" s="344"/>
      <c r="AO91" s="335">
        <v>0</v>
      </c>
      <c r="AP91" s="260">
        <v>0</v>
      </c>
      <c r="AQ91" s="336">
        <v>0</v>
      </c>
      <c r="AR91" s="259" t="s">
        <v>452</v>
      </c>
    </row>
    <row r="92" spans="1:44" s="19" customFormat="1" ht="72.5" x14ac:dyDescent="0.35">
      <c r="A92" s="303" t="s">
        <v>184</v>
      </c>
      <c r="B92" s="285" t="s">
        <v>185</v>
      </c>
      <c r="C92" s="285"/>
      <c r="D92" s="286"/>
      <c r="E92" s="286" t="s">
        <v>97</v>
      </c>
      <c r="F92" s="288" t="s">
        <v>144</v>
      </c>
      <c r="G92" s="288"/>
      <c r="H92" s="288"/>
      <c r="I92" s="289" t="s">
        <v>453</v>
      </c>
      <c r="J92" s="289" t="s">
        <v>454</v>
      </c>
      <c r="K92" s="289" t="s">
        <v>455</v>
      </c>
      <c r="L92" s="288"/>
      <c r="M92" s="288"/>
      <c r="N92" s="288"/>
      <c r="O92" s="286" t="s">
        <v>254</v>
      </c>
      <c r="P92" s="269">
        <f t="shared" si="12"/>
        <v>205313</v>
      </c>
      <c r="Q92" s="270">
        <f t="shared" si="13"/>
        <v>0</v>
      </c>
      <c r="R92" s="271">
        <f t="shared" si="14"/>
        <v>0</v>
      </c>
      <c r="S92" s="271">
        <f t="shared" si="15"/>
        <v>66619</v>
      </c>
      <c r="T92" s="271">
        <f t="shared" si="16"/>
        <v>68450</v>
      </c>
      <c r="U92" s="272">
        <f t="shared" si="17"/>
        <v>70244</v>
      </c>
      <c r="V92" s="362"/>
      <c r="W92" s="361"/>
      <c r="X92" s="291"/>
      <c r="Y92" s="362"/>
      <c r="Z92" s="361"/>
      <c r="AA92" s="293"/>
      <c r="AB92" s="513"/>
      <c r="AC92" s="514">
        <v>20719</v>
      </c>
      <c r="AD92" s="515">
        <v>45900</v>
      </c>
      <c r="AE92" s="516"/>
      <c r="AF92" s="514">
        <v>21650</v>
      </c>
      <c r="AG92" s="515">
        <v>46800</v>
      </c>
      <c r="AH92" s="516"/>
      <c r="AI92" s="514">
        <v>22544</v>
      </c>
      <c r="AJ92" s="515">
        <v>47700</v>
      </c>
      <c r="AK92" s="294" t="s">
        <v>195</v>
      </c>
      <c r="AL92" s="277" t="s">
        <v>106</v>
      </c>
      <c r="AM92" s="342"/>
      <c r="AN92" s="344"/>
      <c r="AO92" s="335">
        <v>0</v>
      </c>
      <c r="AP92" s="260">
        <v>0</v>
      </c>
      <c r="AQ92" s="336">
        <v>0</v>
      </c>
      <c r="AR92" s="259" t="s">
        <v>409</v>
      </c>
    </row>
    <row r="93" spans="1:44" s="19" customFormat="1" ht="145" x14ac:dyDescent="0.35">
      <c r="A93" s="303" t="s">
        <v>184</v>
      </c>
      <c r="B93" s="285" t="s">
        <v>185</v>
      </c>
      <c r="C93" s="285"/>
      <c r="D93" s="286"/>
      <c r="E93" s="286" t="s">
        <v>97</v>
      </c>
      <c r="F93" s="288" t="s">
        <v>144</v>
      </c>
      <c r="G93" s="288" t="s">
        <v>99</v>
      </c>
      <c r="H93" s="288"/>
      <c r="I93" s="289" t="s">
        <v>192</v>
      </c>
      <c r="J93" s="289" t="s">
        <v>193</v>
      </c>
      <c r="K93" s="289" t="s">
        <v>456</v>
      </c>
      <c r="L93" s="288"/>
      <c r="M93" s="288"/>
      <c r="N93" s="288"/>
      <c r="O93" s="286" t="s">
        <v>104</v>
      </c>
      <c r="P93" s="269">
        <f t="shared" si="12"/>
        <v>624691</v>
      </c>
      <c r="Q93" s="270">
        <f t="shared" si="13"/>
        <v>171767</v>
      </c>
      <c r="R93" s="271">
        <f t="shared" si="14"/>
        <v>301450</v>
      </c>
      <c r="S93" s="271">
        <f t="shared" si="15"/>
        <v>76374</v>
      </c>
      <c r="T93" s="271">
        <f t="shared" si="16"/>
        <v>37250</v>
      </c>
      <c r="U93" s="272">
        <f t="shared" si="17"/>
        <v>37850</v>
      </c>
      <c r="V93" s="362">
        <v>150000</v>
      </c>
      <c r="W93" s="361">
        <v>21767</v>
      </c>
      <c r="X93" s="291"/>
      <c r="Y93" s="362">
        <v>262650</v>
      </c>
      <c r="Z93" s="361">
        <v>38800</v>
      </c>
      <c r="AA93" s="293"/>
      <c r="AB93" s="513">
        <v>61086</v>
      </c>
      <c r="AC93" s="514">
        <v>15288</v>
      </c>
      <c r="AD93" s="515"/>
      <c r="AE93" s="516">
        <v>37250</v>
      </c>
      <c r="AF93" s="514"/>
      <c r="AG93" s="515"/>
      <c r="AH93" s="516">
        <v>37850</v>
      </c>
      <c r="AI93" s="514"/>
      <c r="AJ93" s="515"/>
      <c r="AK93" s="294" t="s">
        <v>195</v>
      </c>
      <c r="AL93" s="277" t="s">
        <v>136</v>
      </c>
      <c r="AM93" s="342"/>
      <c r="AN93" s="344"/>
      <c r="AO93" s="335">
        <v>0</v>
      </c>
      <c r="AP93" s="260">
        <v>0</v>
      </c>
      <c r="AQ93" s="336">
        <v>0</v>
      </c>
      <c r="AR93" s="259" t="s">
        <v>457</v>
      </c>
    </row>
    <row r="94" spans="1:44" s="19" customFormat="1" ht="116" x14ac:dyDescent="0.35">
      <c r="A94" s="303" t="s">
        <v>184</v>
      </c>
      <c r="B94" s="285" t="s">
        <v>185</v>
      </c>
      <c r="C94" s="285"/>
      <c r="D94" s="286"/>
      <c r="E94" s="286" t="s">
        <v>97</v>
      </c>
      <c r="F94" s="288"/>
      <c r="G94" s="288"/>
      <c r="H94" s="288"/>
      <c r="I94" s="289" t="s">
        <v>458</v>
      </c>
      <c r="J94" s="289" t="s">
        <v>459</v>
      </c>
      <c r="K94" s="289" t="s">
        <v>460</v>
      </c>
      <c r="L94" s="288"/>
      <c r="M94" s="288"/>
      <c r="N94" s="288"/>
      <c r="O94" s="286" t="s">
        <v>254</v>
      </c>
      <c r="P94" s="269">
        <f t="shared" si="12"/>
        <v>165969</v>
      </c>
      <c r="Q94" s="270">
        <f t="shared" si="13"/>
        <v>0</v>
      </c>
      <c r="R94" s="271">
        <f t="shared" si="14"/>
        <v>0</v>
      </c>
      <c r="S94" s="271">
        <f t="shared" si="15"/>
        <v>0</v>
      </c>
      <c r="T94" s="271">
        <f t="shared" si="16"/>
        <v>81919</v>
      </c>
      <c r="U94" s="272">
        <f t="shared" si="17"/>
        <v>84050</v>
      </c>
      <c r="V94" s="362"/>
      <c r="W94" s="361"/>
      <c r="X94" s="291"/>
      <c r="Y94" s="362"/>
      <c r="Z94" s="361"/>
      <c r="AA94" s="293"/>
      <c r="AB94" s="513"/>
      <c r="AC94" s="514"/>
      <c r="AD94" s="515"/>
      <c r="AE94" s="516"/>
      <c r="AF94" s="514">
        <v>20719</v>
      </c>
      <c r="AG94" s="515">
        <v>61200</v>
      </c>
      <c r="AH94" s="516"/>
      <c r="AI94" s="514">
        <v>21650</v>
      </c>
      <c r="AJ94" s="515">
        <v>62400</v>
      </c>
      <c r="AK94" s="294" t="s">
        <v>195</v>
      </c>
      <c r="AL94" s="277" t="s">
        <v>396</v>
      </c>
      <c r="AM94" s="342"/>
      <c r="AN94" s="344"/>
      <c r="AO94" s="335">
        <v>0</v>
      </c>
      <c r="AP94" s="260">
        <v>0</v>
      </c>
      <c r="AQ94" s="336">
        <v>0</v>
      </c>
      <c r="AR94" s="259" t="s">
        <v>409</v>
      </c>
    </row>
    <row r="95" spans="1:44" s="19" customFormat="1" ht="72.5" x14ac:dyDescent="0.35">
      <c r="A95" s="303" t="s">
        <v>197</v>
      </c>
      <c r="B95" s="285" t="s">
        <v>461</v>
      </c>
      <c r="C95" s="285"/>
      <c r="D95" s="286"/>
      <c r="E95" s="286" t="s">
        <v>97</v>
      </c>
      <c r="F95" s="288"/>
      <c r="G95" s="288"/>
      <c r="H95" s="288"/>
      <c r="I95" s="289" t="s">
        <v>462</v>
      </c>
      <c r="J95" s="289" t="s">
        <v>463</v>
      </c>
      <c r="K95" s="289"/>
      <c r="L95" s="288"/>
      <c r="M95" s="288"/>
      <c r="N95" s="288"/>
      <c r="O95" s="286" t="s">
        <v>254</v>
      </c>
      <c r="P95" s="269">
        <f t="shared" si="12"/>
        <v>68336344</v>
      </c>
      <c r="Q95" s="270">
        <f t="shared" si="13"/>
        <v>0</v>
      </c>
      <c r="R95" s="271">
        <f t="shared" si="14"/>
        <v>14347427</v>
      </c>
      <c r="S95" s="271">
        <f t="shared" si="15"/>
        <v>17829757</v>
      </c>
      <c r="T95" s="271">
        <f t="shared" si="16"/>
        <v>18079580</v>
      </c>
      <c r="U95" s="272">
        <f t="shared" si="17"/>
        <v>18079580</v>
      </c>
      <c r="V95" s="362"/>
      <c r="W95" s="361"/>
      <c r="X95" s="291"/>
      <c r="Y95" s="362">
        <v>3389177</v>
      </c>
      <c r="Z95" s="361">
        <v>5273110</v>
      </c>
      <c r="AA95" s="293">
        <v>5685140</v>
      </c>
      <c r="AB95" s="513">
        <v>5640677</v>
      </c>
      <c r="AC95" s="514">
        <v>5992100</v>
      </c>
      <c r="AD95" s="515">
        <v>6196980</v>
      </c>
      <c r="AE95" s="516">
        <v>4896100</v>
      </c>
      <c r="AF95" s="514">
        <v>6722420</v>
      </c>
      <c r="AG95" s="515">
        <v>6461060</v>
      </c>
      <c r="AH95" s="516">
        <v>4896100</v>
      </c>
      <c r="AI95" s="514">
        <v>6722420</v>
      </c>
      <c r="AJ95" s="515">
        <v>6461060</v>
      </c>
      <c r="AK95" s="294" t="s">
        <v>464</v>
      </c>
      <c r="AL95" s="277" t="s">
        <v>136</v>
      </c>
      <c r="AM95" s="342"/>
      <c r="AN95" s="344"/>
      <c r="AO95" s="335">
        <v>0</v>
      </c>
      <c r="AP95" s="260">
        <v>0</v>
      </c>
      <c r="AQ95" s="336">
        <v>0</v>
      </c>
      <c r="AR95" s="259" t="s">
        <v>465</v>
      </c>
    </row>
    <row r="96" spans="1:44" s="19" customFormat="1" ht="29" x14ac:dyDescent="0.35">
      <c r="A96" s="303" t="s">
        <v>197</v>
      </c>
      <c r="B96" s="285" t="s">
        <v>118</v>
      </c>
      <c r="C96" s="285"/>
      <c r="D96" s="286"/>
      <c r="E96" s="286" t="s">
        <v>97</v>
      </c>
      <c r="F96" s="288"/>
      <c r="G96" s="288"/>
      <c r="H96" s="288"/>
      <c r="I96" s="289"/>
      <c r="J96" s="289" t="s">
        <v>466</v>
      </c>
      <c r="K96" s="289"/>
      <c r="L96" s="288"/>
      <c r="M96" s="288"/>
      <c r="N96" s="288" t="s">
        <v>467</v>
      </c>
      <c r="O96" s="286" t="s">
        <v>139</v>
      </c>
      <c r="P96" s="269">
        <f t="shared" si="12"/>
        <v>48676505.518128939</v>
      </c>
      <c r="Q96" s="270">
        <f t="shared" si="13"/>
        <v>10500971.076893527</v>
      </c>
      <c r="R96" s="271">
        <f t="shared" si="14"/>
        <v>9157273.1944177561</v>
      </c>
      <c r="S96" s="271">
        <f t="shared" si="15"/>
        <v>9227597.2122918759</v>
      </c>
      <c r="T96" s="271">
        <f t="shared" si="16"/>
        <v>9895332.0172628909</v>
      </c>
      <c r="U96" s="272">
        <f t="shared" si="17"/>
        <v>9895332.0172628909</v>
      </c>
      <c r="V96" s="362">
        <v>2369333.3333333335</v>
      </c>
      <c r="W96" s="361">
        <v>4078129.2445814479</v>
      </c>
      <c r="X96" s="291">
        <v>4053508.4989787447</v>
      </c>
      <c r="Y96" s="362">
        <v>983135.33333333337</v>
      </c>
      <c r="Z96" s="361">
        <v>4062837.3621056788</v>
      </c>
      <c r="AA96" s="293">
        <v>4111300.4989787447</v>
      </c>
      <c r="AB96" s="513">
        <v>984735.33333333337</v>
      </c>
      <c r="AC96" s="514">
        <v>4086253.3799797967</v>
      </c>
      <c r="AD96" s="515">
        <v>4156608.4989787457</v>
      </c>
      <c r="AE96" s="516">
        <v>1597600</v>
      </c>
      <c r="AF96" s="514">
        <v>4106638.4867841443</v>
      </c>
      <c r="AG96" s="515">
        <v>4191093.5304787457</v>
      </c>
      <c r="AH96" s="516">
        <v>1597600</v>
      </c>
      <c r="AI96" s="514">
        <v>4106638.4867841443</v>
      </c>
      <c r="AJ96" s="515">
        <v>4191093.5304787457</v>
      </c>
      <c r="AK96" s="294" t="s">
        <v>464</v>
      </c>
      <c r="AL96" s="277" t="s">
        <v>396</v>
      </c>
      <c r="AM96" s="342"/>
      <c r="AN96" s="344"/>
      <c r="AO96" s="335">
        <v>81630</v>
      </c>
      <c r="AP96" s="260">
        <v>820025</v>
      </c>
      <c r="AQ96" s="336">
        <v>356117</v>
      </c>
      <c r="AR96" s="259" t="s">
        <v>468</v>
      </c>
    </row>
    <row r="97" spans="1:44" s="19" customFormat="1" ht="29" x14ac:dyDescent="0.35">
      <c r="A97" s="303" t="s">
        <v>197</v>
      </c>
      <c r="B97" s="285" t="s">
        <v>118</v>
      </c>
      <c r="C97" s="285"/>
      <c r="D97" s="286"/>
      <c r="E97" s="286" t="s">
        <v>97</v>
      </c>
      <c r="F97" s="288"/>
      <c r="G97" s="288"/>
      <c r="H97" s="288"/>
      <c r="I97" s="289"/>
      <c r="J97" s="289" t="s">
        <v>469</v>
      </c>
      <c r="K97" s="289"/>
      <c r="L97" s="288"/>
      <c r="M97" s="288"/>
      <c r="N97" s="288" t="s">
        <v>467</v>
      </c>
      <c r="O97" s="286" t="s">
        <v>278</v>
      </c>
      <c r="P97" s="269">
        <f t="shared" si="12"/>
        <v>11422000</v>
      </c>
      <c r="Q97" s="270">
        <f t="shared" si="13"/>
        <v>1654000</v>
      </c>
      <c r="R97" s="271">
        <f t="shared" si="14"/>
        <v>2442000</v>
      </c>
      <c r="S97" s="271">
        <f t="shared" si="15"/>
        <v>2442000</v>
      </c>
      <c r="T97" s="271">
        <f t="shared" si="16"/>
        <v>2442000</v>
      </c>
      <c r="U97" s="272">
        <f t="shared" si="17"/>
        <v>2442000</v>
      </c>
      <c r="V97" s="362">
        <v>0</v>
      </c>
      <c r="W97" s="361">
        <v>754000</v>
      </c>
      <c r="X97" s="291">
        <v>900000</v>
      </c>
      <c r="Y97" s="362">
        <v>360000</v>
      </c>
      <c r="Z97" s="361">
        <v>1082000</v>
      </c>
      <c r="AA97" s="293">
        <v>1000000</v>
      </c>
      <c r="AB97" s="513">
        <v>360000</v>
      </c>
      <c r="AC97" s="514">
        <v>1082000</v>
      </c>
      <c r="AD97" s="515">
        <v>1000000</v>
      </c>
      <c r="AE97" s="516">
        <v>360000</v>
      </c>
      <c r="AF97" s="514">
        <v>1082000</v>
      </c>
      <c r="AG97" s="515">
        <v>1000000</v>
      </c>
      <c r="AH97" s="516">
        <v>360000</v>
      </c>
      <c r="AI97" s="514">
        <v>1082000</v>
      </c>
      <c r="AJ97" s="515">
        <v>1000000</v>
      </c>
      <c r="AK97" s="294" t="s">
        <v>470</v>
      </c>
      <c r="AL97" s="277" t="s">
        <v>136</v>
      </c>
      <c r="AM97" s="342"/>
      <c r="AN97" s="344"/>
      <c r="AO97" s="335">
        <v>0</v>
      </c>
      <c r="AP97" s="260">
        <v>754000</v>
      </c>
      <c r="AQ97" s="336">
        <v>869883</v>
      </c>
      <c r="AR97" s="259" t="s">
        <v>471</v>
      </c>
    </row>
    <row r="98" spans="1:44" s="19" customFormat="1" ht="72.5" x14ac:dyDescent="0.35">
      <c r="A98" s="303" t="s">
        <v>197</v>
      </c>
      <c r="B98" s="285" t="s">
        <v>118</v>
      </c>
      <c r="C98" s="285"/>
      <c r="D98" s="286"/>
      <c r="E98" s="286" t="s">
        <v>97</v>
      </c>
      <c r="F98" s="288" t="s">
        <v>144</v>
      </c>
      <c r="G98" s="288" t="s">
        <v>99</v>
      </c>
      <c r="H98" s="288"/>
      <c r="I98" s="289"/>
      <c r="J98" s="289" t="s">
        <v>472</v>
      </c>
      <c r="K98" s="289"/>
      <c r="L98" s="288"/>
      <c r="M98" s="288"/>
      <c r="N98" s="288"/>
      <c r="O98" s="286" t="s">
        <v>279</v>
      </c>
      <c r="P98" s="269">
        <f t="shared" si="12"/>
        <v>798804</v>
      </c>
      <c r="Q98" s="270">
        <f t="shared" si="13"/>
        <v>726530</v>
      </c>
      <c r="R98" s="271">
        <f t="shared" si="14"/>
        <v>72274</v>
      </c>
      <c r="S98" s="271">
        <f t="shared" si="15"/>
        <v>0</v>
      </c>
      <c r="T98" s="271">
        <f t="shared" si="16"/>
        <v>0</v>
      </c>
      <c r="U98" s="272">
        <f t="shared" si="17"/>
        <v>0</v>
      </c>
      <c r="V98" s="362">
        <v>389772</v>
      </c>
      <c r="W98" s="361">
        <v>175330</v>
      </c>
      <c r="X98" s="291">
        <v>161428</v>
      </c>
      <c r="Y98" s="362">
        <v>47536</v>
      </c>
      <c r="Z98" s="361">
        <v>3250</v>
      </c>
      <c r="AA98" s="293">
        <v>21488</v>
      </c>
      <c r="AB98" s="513"/>
      <c r="AC98" s="514"/>
      <c r="AD98" s="515"/>
      <c r="AE98" s="516"/>
      <c r="AF98" s="514"/>
      <c r="AG98" s="515"/>
      <c r="AH98" s="516"/>
      <c r="AI98" s="514"/>
      <c r="AJ98" s="515"/>
      <c r="AK98" s="294" t="s">
        <v>470</v>
      </c>
      <c r="AL98" s="277" t="s">
        <v>396</v>
      </c>
      <c r="AM98" s="342"/>
      <c r="AN98" s="344"/>
      <c r="AO98" s="335">
        <v>169149</v>
      </c>
      <c r="AP98" s="260">
        <v>142901</v>
      </c>
      <c r="AQ98" s="336">
        <v>48548</v>
      </c>
      <c r="AR98" s="259" t="s">
        <v>473</v>
      </c>
    </row>
    <row r="99" spans="1:44" s="19" customFormat="1" ht="72.5" x14ac:dyDescent="0.35">
      <c r="A99" s="303" t="s">
        <v>197</v>
      </c>
      <c r="B99" s="285" t="s">
        <v>118</v>
      </c>
      <c r="C99" s="285"/>
      <c r="D99" s="286"/>
      <c r="E99" s="286" t="s">
        <v>97</v>
      </c>
      <c r="F99" s="288" t="s">
        <v>144</v>
      </c>
      <c r="G99" s="288" t="s">
        <v>99</v>
      </c>
      <c r="H99" s="288"/>
      <c r="I99" s="289"/>
      <c r="J99" s="289" t="s">
        <v>474</v>
      </c>
      <c r="K99" s="289"/>
      <c r="L99" s="288"/>
      <c r="M99" s="288"/>
      <c r="N99" s="288"/>
      <c r="O99" s="286" t="s">
        <v>279</v>
      </c>
      <c r="P99" s="269">
        <f t="shared" si="12"/>
        <v>834561</v>
      </c>
      <c r="Q99" s="270">
        <f t="shared" si="13"/>
        <v>834561</v>
      </c>
      <c r="R99" s="271">
        <f t="shared" si="14"/>
        <v>0</v>
      </c>
      <c r="S99" s="271">
        <f t="shared" si="15"/>
        <v>0</v>
      </c>
      <c r="T99" s="271">
        <f t="shared" si="16"/>
        <v>0</v>
      </c>
      <c r="U99" s="272">
        <f t="shared" si="17"/>
        <v>0</v>
      </c>
      <c r="V99" s="362">
        <v>708061</v>
      </c>
      <c r="W99" s="361">
        <v>110000</v>
      </c>
      <c r="X99" s="291">
        <v>16500</v>
      </c>
      <c r="Y99" s="362"/>
      <c r="Z99" s="361"/>
      <c r="AA99" s="293"/>
      <c r="AB99" s="513"/>
      <c r="AC99" s="514"/>
      <c r="AD99" s="515"/>
      <c r="AE99" s="516"/>
      <c r="AF99" s="514"/>
      <c r="AG99" s="515"/>
      <c r="AH99" s="516"/>
      <c r="AI99" s="514"/>
      <c r="AJ99" s="515"/>
      <c r="AK99" s="294"/>
      <c r="AL99" s="277" t="s">
        <v>396</v>
      </c>
      <c r="AM99" s="342"/>
      <c r="AN99" s="344"/>
      <c r="AO99" s="335">
        <v>708061</v>
      </c>
      <c r="AP99" s="260">
        <v>63068</v>
      </c>
      <c r="AQ99" s="336">
        <v>9460</v>
      </c>
      <c r="AR99" s="259" t="s">
        <v>475</v>
      </c>
    </row>
    <row r="100" spans="1:44" s="19" customFormat="1" ht="72.5" x14ac:dyDescent="0.35">
      <c r="A100" s="303" t="s">
        <v>197</v>
      </c>
      <c r="B100" s="285" t="s">
        <v>118</v>
      </c>
      <c r="C100" s="285"/>
      <c r="D100" s="286"/>
      <c r="E100" s="286" t="s">
        <v>97</v>
      </c>
      <c r="F100" s="288" t="s">
        <v>144</v>
      </c>
      <c r="G100" s="288" t="s">
        <v>99</v>
      </c>
      <c r="H100" s="288"/>
      <c r="I100" s="289"/>
      <c r="J100" s="289" t="s">
        <v>476</v>
      </c>
      <c r="K100" s="289"/>
      <c r="L100" s="288"/>
      <c r="M100" s="288"/>
      <c r="N100" s="288"/>
      <c r="O100" s="286" t="s">
        <v>279</v>
      </c>
      <c r="P100" s="269">
        <f t="shared" si="12"/>
        <v>65909</v>
      </c>
      <c r="Q100" s="270">
        <f t="shared" si="13"/>
        <v>65909</v>
      </c>
      <c r="R100" s="271">
        <f t="shared" si="14"/>
        <v>0</v>
      </c>
      <c r="S100" s="271">
        <f t="shared" si="15"/>
        <v>0</v>
      </c>
      <c r="T100" s="271">
        <f t="shared" si="16"/>
        <v>0</v>
      </c>
      <c r="U100" s="272">
        <f t="shared" si="17"/>
        <v>0</v>
      </c>
      <c r="V100" s="362">
        <v>64960</v>
      </c>
      <c r="W100" s="361">
        <v>949</v>
      </c>
      <c r="X100" s="291"/>
      <c r="Y100" s="362"/>
      <c r="Z100" s="361"/>
      <c r="AA100" s="293"/>
      <c r="AB100" s="513"/>
      <c r="AC100" s="514"/>
      <c r="AD100" s="515"/>
      <c r="AE100" s="516"/>
      <c r="AF100" s="514"/>
      <c r="AG100" s="515"/>
      <c r="AH100" s="516"/>
      <c r="AI100" s="514"/>
      <c r="AJ100" s="515"/>
      <c r="AK100" s="294"/>
      <c r="AL100" s="277" t="s">
        <v>396</v>
      </c>
      <c r="AM100" s="342"/>
      <c r="AN100" s="344"/>
      <c r="AO100" s="335">
        <v>64960</v>
      </c>
      <c r="AP100" s="260">
        <v>944</v>
      </c>
      <c r="AQ100" s="336">
        <v>0</v>
      </c>
      <c r="AR100" s="259" t="s">
        <v>477</v>
      </c>
    </row>
    <row r="101" spans="1:44" s="19" customFormat="1" ht="72.5" x14ac:dyDescent="0.35">
      <c r="A101" s="303" t="s">
        <v>197</v>
      </c>
      <c r="B101" s="285" t="s">
        <v>118</v>
      </c>
      <c r="C101" s="285"/>
      <c r="D101" s="286"/>
      <c r="E101" s="286" t="s">
        <v>97</v>
      </c>
      <c r="F101" s="288" t="s">
        <v>144</v>
      </c>
      <c r="G101" s="288" t="s">
        <v>99</v>
      </c>
      <c r="H101" s="288"/>
      <c r="I101" s="289"/>
      <c r="J101" s="289" t="s">
        <v>478</v>
      </c>
      <c r="K101" s="289"/>
      <c r="L101" s="288"/>
      <c r="M101" s="288"/>
      <c r="N101" s="288"/>
      <c r="O101" s="286" t="s">
        <v>279</v>
      </c>
      <c r="P101" s="269">
        <f t="shared" si="12"/>
        <v>247393</v>
      </c>
      <c r="Q101" s="270">
        <f t="shared" si="13"/>
        <v>247393</v>
      </c>
      <c r="R101" s="271">
        <f t="shared" si="14"/>
        <v>0</v>
      </c>
      <c r="S101" s="271">
        <f t="shared" si="15"/>
        <v>0</v>
      </c>
      <c r="T101" s="271">
        <f t="shared" si="16"/>
        <v>0</v>
      </c>
      <c r="U101" s="272">
        <f t="shared" si="17"/>
        <v>0</v>
      </c>
      <c r="V101" s="362">
        <v>110793</v>
      </c>
      <c r="W101" s="361">
        <v>118783</v>
      </c>
      <c r="X101" s="291">
        <v>17817</v>
      </c>
      <c r="Y101" s="362"/>
      <c r="Z101" s="361"/>
      <c r="AA101" s="293"/>
      <c r="AB101" s="513"/>
      <c r="AC101" s="514"/>
      <c r="AD101" s="515"/>
      <c r="AE101" s="516"/>
      <c r="AF101" s="514"/>
      <c r="AG101" s="515"/>
      <c r="AH101" s="516"/>
      <c r="AI101" s="514"/>
      <c r="AJ101" s="515"/>
      <c r="AK101" s="294"/>
      <c r="AL101" s="277" t="s">
        <v>396</v>
      </c>
      <c r="AM101" s="342"/>
      <c r="AN101" s="344"/>
      <c r="AO101" s="335">
        <v>489273</v>
      </c>
      <c r="AP101" s="260">
        <v>51125</v>
      </c>
      <c r="AQ101" s="336">
        <v>7669</v>
      </c>
      <c r="AR101" s="259" t="s">
        <v>479</v>
      </c>
    </row>
    <row r="102" spans="1:44" s="19" customFormat="1" ht="304.5" x14ac:dyDescent="0.35">
      <c r="A102" s="303" t="s">
        <v>197</v>
      </c>
      <c r="B102" s="285" t="s">
        <v>118</v>
      </c>
      <c r="C102" s="285"/>
      <c r="D102" s="286"/>
      <c r="E102" s="286" t="s">
        <v>97</v>
      </c>
      <c r="F102" s="288" t="s">
        <v>201</v>
      </c>
      <c r="G102" s="288" t="s">
        <v>99</v>
      </c>
      <c r="H102" s="288"/>
      <c r="I102" s="289" t="s">
        <v>202</v>
      </c>
      <c r="J102" s="289" t="s">
        <v>480</v>
      </c>
      <c r="K102" s="289" t="s">
        <v>204</v>
      </c>
      <c r="L102" s="288"/>
      <c r="M102" s="288"/>
      <c r="N102" s="288"/>
      <c r="O102" s="286" t="s">
        <v>104</v>
      </c>
      <c r="P102" s="269">
        <f t="shared" si="12"/>
        <v>1896666.6666666667</v>
      </c>
      <c r="Q102" s="270">
        <f t="shared" si="13"/>
        <v>0</v>
      </c>
      <c r="R102" s="271">
        <f t="shared" si="14"/>
        <v>833333.33333333337</v>
      </c>
      <c r="S102" s="271">
        <f t="shared" si="15"/>
        <v>916666.66666666674</v>
      </c>
      <c r="T102" s="271">
        <f t="shared" si="16"/>
        <v>146666.66666666669</v>
      </c>
      <c r="U102" s="272">
        <f t="shared" si="17"/>
        <v>0</v>
      </c>
      <c r="V102" s="362">
        <v>0</v>
      </c>
      <c r="W102" s="361">
        <v>0</v>
      </c>
      <c r="X102" s="291">
        <v>0</v>
      </c>
      <c r="Y102" s="362">
        <v>833333.33333333337</v>
      </c>
      <c r="Z102" s="361">
        <v>0</v>
      </c>
      <c r="AA102" s="293">
        <v>0</v>
      </c>
      <c r="AB102" s="513">
        <v>916666.66666666674</v>
      </c>
      <c r="AC102" s="514">
        <v>0</v>
      </c>
      <c r="AD102" s="515">
        <v>0</v>
      </c>
      <c r="AE102" s="516">
        <v>146666.66666666669</v>
      </c>
      <c r="AF102" s="514">
        <v>0</v>
      </c>
      <c r="AG102" s="515">
        <v>0</v>
      </c>
      <c r="AH102" s="516">
        <v>0</v>
      </c>
      <c r="AI102" s="514">
        <v>0</v>
      </c>
      <c r="AJ102" s="515">
        <v>0</v>
      </c>
      <c r="AK102" s="294"/>
      <c r="AL102" s="277" t="s">
        <v>126</v>
      </c>
      <c r="AM102" s="342" t="s">
        <v>481</v>
      </c>
      <c r="AN102" s="344"/>
      <c r="AO102" s="335">
        <v>0</v>
      </c>
      <c r="AP102" s="260">
        <v>0</v>
      </c>
      <c r="AQ102" s="336">
        <v>0</v>
      </c>
      <c r="AR102" s="259" t="s">
        <v>482</v>
      </c>
    </row>
    <row r="103" spans="1:44" s="19" customFormat="1" ht="72.5" x14ac:dyDescent="0.35">
      <c r="A103" s="303" t="s">
        <v>197</v>
      </c>
      <c r="B103" s="285" t="s">
        <v>118</v>
      </c>
      <c r="C103" s="285"/>
      <c r="D103" s="286"/>
      <c r="E103" s="286" t="s">
        <v>97</v>
      </c>
      <c r="F103" s="288"/>
      <c r="G103" s="288"/>
      <c r="H103" s="288"/>
      <c r="I103" s="289" t="s">
        <v>483</v>
      </c>
      <c r="J103" s="289" t="s">
        <v>484</v>
      </c>
      <c r="K103" s="289" t="s">
        <v>485</v>
      </c>
      <c r="L103" s="288"/>
      <c r="M103" s="288"/>
      <c r="N103" s="288"/>
      <c r="O103" s="286" t="s">
        <v>254</v>
      </c>
      <c r="P103" s="269">
        <f t="shared" si="12"/>
        <v>1190800</v>
      </c>
      <c r="Q103" s="270">
        <f t="shared" si="13"/>
        <v>0</v>
      </c>
      <c r="R103" s="271">
        <f t="shared" si="14"/>
        <v>131000</v>
      </c>
      <c r="S103" s="271">
        <f t="shared" si="15"/>
        <v>330800</v>
      </c>
      <c r="T103" s="271">
        <f t="shared" si="16"/>
        <v>359800</v>
      </c>
      <c r="U103" s="272">
        <f t="shared" si="17"/>
        <v>369200</v>
      </c>
      <c r="V103" s="362">
        <v>0</v>
      </c>
      <c r="W103" s="361">
        <v>0</v>
      </c>
      <c r="X103" s="291">
        <v>0</v>
      </c>
      <c r="Y103" s="362">
        <v>0</v>
      </c>
      <c r="Z103" s="361">
        <v>45000</v>
      </c>
      <c r="AA103" s="293">
        <v>86000</v>
      </c>
      <c r="AB103" s="513">
        <v>0</v>
      </c>
      <c r="AC103" s="514">
        <v>224800</v>
      </c>
      <c r="AD103" s="515">
        <v>106000</v>
      </c>
      <c r="AE103" s="516">
        <v>0</v>
      </c>
      <c r="AF103" s="514">
        <v>233800</v>
      </c>
      <c r="AG103" s="515">
        <v>126000</v>
      </c>
      <c r="AH103" s="516">
        <v>0</v>
      </c>
      <c r="AI103" s="514">
        <v>243200</v>
      </c>
      <c r="AJ103" s="515">
        <v>126000</v>
      </c>
      <c r="AK103" s="294"/>
      <c r="AL103" s="277" t="s">
        <v>126</v>
      </c>
      <c r="AM103" s="342" t="s">
        <v>481</v>
      </c>
      <c r="AN103" s="344"/>
      <c r="AO103" s="335">
        <v>0</v>
      </c>
      <c r="AP103" s="260">
        <v>0</v>
      </c>
      <c r="AQ103" s="336">
        <v>0</v>
      </c>
      <c r="AR103" s="259" t="s">
        <v>486</v>
      </c>
    </row>
    <row r="104" spans="1:44" s="19" customFormat="1" ht="43.5" x14ac:dyDescent="0.35">
      <c r="A104" s="303" t="s">
        <v>197</v>
      </c>
      <c r="B104" s="285" t="s">
        <v>118</v>
      </c>
      <c r="C104" s="285"/>
      <c r="D104" s="286"/>
      <c r="E104" s="286" t="s">
        <v>97</v>
      </c>
      <c r="F104" s="288"/>
      <c r="G104" s="288"/>
      <c r="H104" s="288"/>
      <c r="I104" s="289"/>
      <c r="J104" s="289" t="s">
        <v>487</v>
      </c>
      <c r="K104" s="289"/>
      <c r="L104" s="288"/>
      <c r="M104" s="288"/>
      <c r="N104" s="288"/>
      <c r="O104" s="286" t="s">
        <v>135</v>
      </c>
      <c r="P104" s="269">
        <f t="shared" si="12"/>
        <v>5868853</v>
      </c>
      <c r="Q104" s="270">
        <f t="shared" si="13"/>
        <v>5868853</v>
      </c>
      <c r="R104" s="271">
        <f t="shared" si="14"/>
        <v>0</v>
      </c>
      <c r="S104" s="271">
        <f t="shared" si="15"/>
        <v>0</v>
      </c>
      <c r="T104" s="271">
        <f t="shared" si="16"/>
        <v>0</v>
      </c>
      <c r="U104" s="272">
        <f t="shared" si="17"/>
        <v>0</v>
      </c>
      <c r="V104" s="362">
        <v>2665881</v>
      </c>
      <c r="W104" s="361">
        <v>2085472</v>
      </c>
      <c r="X104" s="291">
        <v>1117500</v>
      </c>
      <c r="Y104" s="362"/>
      <c r="Z104" s="361"/>
      <c r="AA104" s="293"/>
      <c r="AB104" s="513"/>
      <c r="AC104" s="514"/>
      <c r="AD104" s="515"/>
      <c r="AE104" s="516"/>
      <c r="AF104" s="514"/>
      <c r="AG104" s="515"/>
      <c r="AH104" s="516"/>
      <c r="AI104" s="514"/>
      <c r="AJ104" s="515"/>
      <c r="AK104" s="294"/>
      <c r="AL104" s="277" t="s">
        <v>126</v>
      </c>
      <c r="AM104" s="342" t="s">
        <v>481</v>
      </c>
      <c r="AN104" s="344"/>
      <c r="AO104" s="335">
        <v>2835627</v>
      </c>
      <c r="AP104" s="260">
        <v>1885701</v>
      </c>
      <c r="AQ104" s="336">
        <v>968818</v>
      </c>
      <c r="AR104" s="259" t="s">
        <v>488</v>
      </c>
    </row>
    <row r="105" spans="1:44" s="19" customFormat="1" ht="29" x14ac:dyDescent="0.35">
      <c r="A105" s="303" t="s">
        <v>197</v>
      </c>
      <c r="B105" s="285" t="s">
        <v>118</v>
      </c>
      <c r="C105" s="285"/>
      <c r="D105" s="286"/>
      <c r="E105" s="286" t="s">
        <v>97</v>
      </c>
      <c r="F105" s="288"/>
      <c r="G105" s="288"/>
      <c r="H105" s="288"/>
      <c r="I105" s="289"/>
      <c r="J105" s="289" t="s">
        <v>489</v>
      </c>
      <c r="K105" s="289"/>
      <c r="L105" s="288"/>
      <c r="M105" s="288"/>
      <c r="N105" s="288"/>
      <c r="O105" s="286" t="s">
        <v>135</v>
      </c>
      <c r="P105" s="269">
        <f t="shared" si="12"/>
        <v>420000</v>
      </c>
      <c r="Q105" s="270">
        <f t="shared" si="13"/>
        <v>84000</v>
      </c>
      <c r="R105" s="271">
        <f t="shared" si="14"/>
        <v>84000</v>
      </c>
      <c r="S105" s="271">
        <f t="shared" si="15"/>
        <v>84000</v>
      </c>
      <c r="T105" s="271">
        <f t="shared" si="16"/>
        <v>84000</v>
      </c>
      <c r="U105" s="272">
        <f t="shared" si="17"/>
        <v>84000</v>
      </c>
      <c r="V105" s="362"/>
      <c r="W105" s="361"/>
      <c r="X105" s="291">
        <v>84000</v>
      </c>
      <c r="Y105" s="362"/>
      <c r="Z105" s="361"/>
      <c r="AA105" s="293">
        <v>84000</v>
      </c>
      <c r="AB105" s="513"/>
      <c r="AC105" s="514"/>
      <c r="AD105" s="515">
        <v>84000</v>
      </c>
      <c r="AE105" s="516"/>
      <c r="AF105" s="514"/>
      <c r="AG105" s="515">
        <v>84000</v>
      </c>
      <c r="AH105" s="516"/>
      <c r="AI105" s="514"/>
      <c r="AJ105" s="515">
        <v>84000</v>
      </c>
      <c r="AK105" s="294"/>
      <c r="AL105" s="277" t="s">
        <v>136</v>
      </c>
      <c r="AM105" s="342" t="s">
        <v>490</v>
      </c>
      <c r="AN105" s="344"/>
      <c r="AO105" s="335">
        <v>0</v>
      </c>
      <c r="AP105" s="260">
        <v>57129</v>
      </c>
      <c r="AQ105" s="336">
        <v>22393</v>
      </c>
      <c r="AR105" s="259" t="s">
        <v>491</v>
      </c>
    </row>
    <row r="106" spans="1:44" s="19" customFormat="1" ht="29" x14ac:dyDescent="0.35">
      <c r="A106" s="303" t="s">
        <v>197</v>
      </c>
      <c r="B106" s="285" t="s">
        <v>118</v>
      </c>
      <c r="C106" s="285"/>
      <c r="D106" s="286"/>
      <c r="E106" s="286" t="s">
        <v>97</v>
      </c>
      <c r="F106" s="288"/>
      <c r="G106" s="288"/>
      <c r="H106" s="288"/>
      <c r="I106" s="289"/>
      <c r="J106" s="289" t="s">
        <v>492</v>
      </c>
      <c r="K106" s="289"/>
      <c r="L106" s="288"/>
      <c r="M106" s="288"/>
      <c r="N106" s="288"/>
      <c r="O106" s="286" t="s">
        <v>135</v>
      </c>
      <c r="P106" s="269">
        <f t="shared" si="12"/>
        <v>172080</v>
      </c>
      <c r="Q106" s="270">
        <f t="shared" si="13"/>
        <v>34416</v>
      </c>
      <c r="R106" s="271">
        <f t="shared" si="14"/>
        <v>34416</v>
      </c>
      <c r="S106" s="271">
        <f t="shared" si="15"/>
        <v>34416</v>
      </c>
      <c r="T106" s="271">
        <f t="shared" si="16"/>
        <v>34416</v>
      </c>
      <c r="U106" s="272">
        <f t="shared" si="17"/>
        <v>34416</v>
      </c>
      <c r="V106" s="362"/>
      <c r="W106" s="361"/>
      <c r="X106" s="291">
        <v>34416</v>
      </c>
      <c r="Y106" s="362"/>
      <c r="Z106" s="361"/>
      <c r="AA106" s="293">
        <v>34416</v>
      </c>
      <c r="AB106" s="513"/>
      <c r="AC106" s="514"/>
      <c r="AD106" s="515">
        <v>34416</v>
      </c>
      <c r="AE106" s="516"/>
      <c r="AF106" s="514"/>
      <c r="AG106" s="515">
        <v>34416</v>
      </c>
      <c r="AH106" s="516"/>
      <c r="AI106" s="514"/>
      <c r="AJ106" s="515">
        <v>34416</v>
      </c>
      <c r="AK106" s="294" t="s">
        <v>493</v>
      </c>
      <c r="AL106" s="277" t="s">
        <v>136</v>
      </c>
      <c r="AM106" s="342"/>
      <c r="AN106" s="344"/>
      <c r="AO106" s="335">
        <v>0</v>
      </c>
      <c r="AP106" s="260">
        <v>34416</v>
      </c>
      <c r="AQ106" s="336">
        <v>0</v>
      </c>
      <c r="AR106" s="259"/>
    </row>
    <row r="107" spans="1:44" s="19" customFormat="1" ht="29" x14ac:dyDescent="0.35">
      <c r="A107" s="303" t="s">
        <v>197</v>
      </c>
      <c r="B107" s="285" t="s">
        <v>118</v>
      </c>
      <c r="C107" s="285"/>
      <c r="D107" s="286"/>
      <c r="E107" s="286" t="s">
        <v>97</v>
      </c>
      <c r="F107" s="288"/>
      <c r="G107" s="288"/>
      <c r="H107" s="288"/>
      <c r="I107" s="289"/>
      <c r="J107" s="289" t="s">
        <v>494</v>
      </c>
      <c r="K107" s="289"/>
      <c r="L107" s="288"/>
      <c r="M107" s="288"/>
      <c r="N107" s="288"/>
      <c r="O107" s="286" t="s">
        <v>135</v>
      </c>
      <c r="P107" s="269">
        <f t="shared" si="12"/>
        <v>402270</v>
      </c>
      <c r="Q107" s="270">
        <f t="shared" si="13"/>
        <v>80454</v>
      </c>
      <c r="R107" s="271">
        <f t="shared" si="14"/>
        <v>80454</v>
      </c>
      <c r="S107" s="271">
        <f t="shared" si="15"/>
        <v>80454</v>
      </c>
      <c r="T107" s="271">
        <f t="shared" si="16"/>
        <v>80454</v>
      </c>
      <c r="U107" s="272">
        <f t="shared" si="17"/>
        <v>80454</v>
      </c>
      <c r="V107" s="362"/>
      <c r="W107" s="361"/>
      <c r="X107" s="291">
        <v>80454</v>
      </c>
      <c r="Y107" s="362"/>
      <c r="Z107" s="361"/>
      <c r="AA107" s="293">
        <v>80454</v>
      </c>
      <c r="AB107" s="513"/>
      <c r="AC107" s="514"/>
      <c r="AD107" s="515">
        <v>80454</v>
      </c>
      <c r="AE107" s="516"/>
      <c r="AF107" s="514"/>
      <c r="AG107" s="515">
        <v>80454</v>
      </c>
      <c r="AH107" s="516"/>
      <c r="AI107" s="514"/>
      <c r="AJ107" s="515">
        <v>80454</v>
      </c>
      <c r="AK107" s="294" t="s">
        <v>493</v>
      </c>
      <c r="AL107" s="277" t="s">
        <v>396</v>
      </c>
      <c r="AM107" s="342"/>
      <c r="AN107" s="344"/>
      <c r="AO107" s="335">
        <v>0</v>
      </c>
      <c r="AP107" s="260">
        <v>80454</v>
      </c>
      <c r="AQ107" s="336">
        <v>0</v>
      </c>
      <c r="AR107" s="259" t="s">
        <v>491</v>
      </c>
    </row>
    <row r="108" spans="1:44" s="19" customFormat="1" ht="29" x14ac:dyDescent="0.35">
      <c r="A108" s="303" t="s">
        <v>197</v>
      </c>
      <c r="B108" s="285" t="s">
        <v>118</v>
      </c>
      <c r="C108" s="285"/>
      <c r="D108" s="286"/>
      <c r="E108" s="286" t="s">
        <v>97</v>
      </c>
      <c r="F108" s="288"/>
      <c r="G108" s="288"/>
      <c r="H108" s="288"/>
      <c r="I108" s="289"/>
      <c r="J108" s="289" t="s">
        <v>495</v>
      </c>
      <c r="K108" s="289"/>
      <c r="L108" s="288"/>
      <c r="M108" s="288"/>
      <c r="N108" s="288"/>
      <c r="O108" s="286" t="s">
        <v>135</v>
      </c>
      <c r="P108" s="269">
        <f t="shared" si="12"/>
        <v>1181700</v>
      </c>
      <c r="Q108" s="270">
        <f t="shared" si="13"/>
        <v>236340</v>
      </c>
      <c r="R108" s="271">
        <f t="shared" si="14"/>
        <v>236340</v>
      </c>
      <c r="S108" s="271">
        <f t="shared" si="15"/>
        <v>236340</v>
      </c>
      <c r="T108" s="271">
        <f t="shared" si="16"/>
        <v>236340</v>
      </c>
      <c r="U108" s="272">
        <f t="shared" si="17"/>
        <v>236340</v>
      </c>
      <c r="V108" s="362"/>
      <c r="W108" s="361">
        <v>236340</v>
      </c>
      <c r="X108" s="291"/>
      <c r="Y108" s="362"/>
      <c r="Z108" s="361">
        <v>236340</v>
      </c>
      <c r="AA108" s="293"/>
      <c r="AB108" s="513"/>
      <c r="AC108" s="514">
        <v>236340</v>
      </c>
      <c r="AD108" s="515"/>
      <c r="AE108" s="516"/>
      <c r="AF108" s="514">
        <v>236340</v>
      </c>
      <c r="AG108" s="515"/>
      <c r="AH108" s="516"/>
      <c r="AI108" s="514">
        <v>236340</v>
      </c>
      <c r="AJ108" s="515"/>
      <c r="AK108" s="294"/>
      <c r="AL108" s="277" t="s">
        <v>136</v>
      </c>
      <c r="AM108" s="342" t="s">
        <v>496</v>
      </c>
      <c r="AN108" s="344"/>
      <c r="AO108" s="335">
        <v>0</v>
      </c>
      <c r="AP108" s="260">
        <v>0</v>
      </c>
      <c r="AQ108" s="336">
        <v>0</v>
      </c>
      <c r="AR108" s="259" t="s">
        <v>497</v>
      </c>
    </row>
    <row r="109" spans="1:44" s="19" customFormat="1" ht="58" x14ac:dyDescent="0.35">
      <c r="A109" s="303" t="s">
        <v>197</v>
      </c>
      <c r="B109" s="285" t="s">
        <v>118</v>
      </c>
      <c r="C109" s="285"/>
      <c r="D109" s="286"/>
      <c r="E109" s="286" t="s">
        <v>97</v>
      </c>
      <c r="F109" s="288"/>
      <c r="G109" s="288"/>
      <c r="H109" s="288"/>
      <c r="I109" s="289"/>
      <c r="J109" s="289" t="s">
        <v>498</v>
      </c>
      <c r="K109" s="289"/>
      <c r="L109" s="288"/>
      <c r="M109" s="288"/>
      <c r="N109" s="288"/>
      <c r="O109" s="286" t="s">
        <v>279</v>
      </c>
      <c r="P109" s="269">
        <f t="shared" si="12"/>
        <v>317055</v>
      </c>
      <c r="Q109" s="270">
        <f t="shared" si="13"/>
        <v>317055</v>
      </c>
      <c r="R109" s="271">
        <f t="shared" si="14"/>
        <v>0</v>
      </c>
      <c r="S109" s="271">
        <f t="shared" si="15"/>
        <v>0</v>
      </c>
      <c r="T109" s="271">
        <f t="shared" si="16"/>
        <v>0</v>
      </c>
      <c r="U109" s="272">
        <f t="shared" si="17"/>
        <v>0</v>
      </c>
      <c r="V109" s="362">
        <v>311200</v>
      </c>
      <c r="W109" s="361">
        <v>5855</v>
      </c>
      <c r="X109" s="291"/>
      <c r="Y109" s="362"/>
      <c r="Z109" s="361"/>
      <c r="AA109" s="293"/>
      <c r="AB109" s="513"/>
      <c r="AC109" s="514"/>
      <c r="AD109" s="515"/>
      <c r="AE109" s="516"/>
      <c r="AF109" s="514"/>
      <c r="AG109" s="515"/>
      <c r="AH109" s="516"/>
      <c r="AI109" s="514"/>
      <c r="AJ109" s="515"/>
      <c r="AK109" s="294"/>
      <c r="AL109" s="277" t="s">
        <v>396</v>
      </c>
      <c r="AM109" s="342"/>
      <c r="AN109" s="344"/>
      <c r="AO109" s="335">
        <v>311200</v>
      </c>
      <c r="AP109" s="260">
        <v>5431</v>
      </c>
      <c r="AQ109" s="336">
        <v>0</v>
      </c>
      <c r="AR109" s="259" t="s">
        <v>477</v>
      </c>
    </row>
    <row r="110" spans="1:44" s="19" customFormat="1" ht="58" x14ac:dyDescent="0.35">
      <c r="A110" s="303" t="s">
        <v>197</v>
      </c>
      <c r="B110" s="285" t="s">
        <v>118</v>
      </c>
      <c r="C110" s="285"/>
      <c r="D110" s="286"/>
      <c r="E110" s="286" t="s">
        <v>97</v>
      </c>
      <c r="F110" s="288"/>
      <c r="G110" s="288"/>
      <c r="H110" s="288"/>
      <c r="I110" s="289"/>
      <c r="J110" s="289" t="s">
        <v>499</v>
      </c>
      <c r="K110" s="289"/>
      <c r="L110" s="288"/>
      <c r="M110" s="288"/>
      <c r="N110" s="288"/>
      <c r="O110" s="286" t="s">
        <v>279</v>
      </c>
      <c r="P110" s="269">
        <f t="shared" si="12"/>
        <v>231233</v>
      </c>
      <c r="Q110" s="270">
        <f t="shared" si="13"/>
        <v>231233</v>
      </c>
      <c r="R110" s="271">
        <f t="shared" si="14"/>
        <v>0</v>
      </c>
      <c r="S110" s="271">
        <f t="shared" si="15"/>
        <v>0</v>
      </c>
      <c r="T110" s="271">
        <f t="shared" si="16"/>
        <v>0</v>
      </c>
      <c r="U110" s="272">
        <f t="shared" si="17"/>
        <v>0</v>
      </c>
      <c r="V110" s="362">
        <v>222120</v>
      </c>
      <c r="W110" s="361">
        <v>9113</v>
      </c>
      <c r="X110" s="291"/>
      <c r="Y110" s="362"/>
      <c r="Z110" s="361"/>
      <c r="AA110" s="293"/>
      <c r="AB110" s="513"/>
      <c r="AC110" s="514"/>
      <c r="AD110" s="515"/>
      <c r="AE110" s="516"/>
      <c r="AF110" s="514"/>
      <c r="AG110" s="515"/>
      <c r="AH110" s="516"/>
      <c r="AI110" s="514"/>
      <c r="AJ110" s="515"/>
      <c r="AK110" s="294"/>
      <c r="AL110" s="277" t="s">
        <v>396</v>
      </c>
      <c r="AM110" s="342"/>
      <c r="AN110" s="344"/>
      <c r="AO110" s="335">
        <v>222020</v>
      </c>
      <c r="AP110" s="260">
        <v>9088</v>
      </c>
      <c r="AQ110" s="336">
        <v>0</v>
      </c>
      <c r="AR110" s="259" t="s">
        <v>477</v>
      </c>
    </row>
    <row r="111" spans="1:44" s="19" customFormat="1" ht="29" x14ac:dyDescent="0.35">
      <c r="A111" s="303" t="s">
        <v>197</v>
      </c>
      <c r="B111" s="285" t="s">
        <v>118</v>
      </c>
      <c r="C111" s="285"/>
      <c r="D111" s="286"/>
      <c r="E111" s="286" t="s">
        <v>97</v>
      </c>
      <c r="F111" s="288"/>
      <c r="G111" s="288"/>
      <c r="H111" s="288"/>
      <c r="I111" s="289"/>
      <c r="J111" s="289" t="s">
        <v>500</v>
      </c>
      <c r="K111" s="289"/>
      <c r="L111" s="288"/>
      <c r="M111" s="288"/>
      <c r="N111" s="288"/>
      <c r="O111" s="286" t="s">
        <v>139</v>
      </c>
      <c r="P111" s="269">
        <f t="shared" si="12"/>
        <v>32276</v>
      </c>
      <c r="Q111" s="270">
        <f t="shared" si="13"/>
        <v>32276</v>
      </c>
      <c r="R111" s="271">
        <f t="shared" si="14"/>
        <v>0</v>
      </c>
      <c r="S111" s="271">
        <f t="shared" si="15"/>
        <v>0</v>
      </c>
      <c r="T111" s="271">
        <f t="shared" si="16"/>
        <v>0</v>
      </c>
      <c r="U111" s="272">
        <f t="shared" si="17"/>
        <v>0</v>
      </c>
      <c r="V111" s="362">
        <v>32276</v>
      </c>
      <c r="W111" s="361"/>
      <c r="X111" s="291"/>
      <c r="Y111" s="362"/>
      <c r="Z111" s="361"/>
      <c r="AA111" s="293"/>
      <c r="AB111" s="513"/>
      <c r="AC111" s="514"/>
      <c r="AD111" s="515"/>
      <c r="AE111" s="516"/>
      <c r="AF111" s="514"/>
      <c r="AG111" s="515"/>
      <c r="AH111" s="516"/>
      <c r="AI111" s="514"/>
      <c r="AJ111" s="515"/>
      <c r="AK111" s="294"/>
      <c r="AL111" s="277" t="s">
        <v>396</v>
      </c>
      <c r="AM111" s="342"/>
      <c r="AN111" s="344"/>
      <c r="AO111" s="335">
        <v>0</v>
      </c>
      <c r="AP111" s="260">
        <v>0</v>
      </c>
      <c r="AQ111" s="336">
        <v>0</v>
      </c>
      <c r="AR111" s="259" t="s">
        <v>501</v>
      </c>
    </row>
    <row r="112" spans="1:44" s="19" customFormat="1" ht="29" x14ac:dyDescent="0.35">
      <c r="A112" s="303" t="s">
        <v>197</v>
      </c>
      <c r="B112" s="285" t="s">
        <v>118</v>
      </c>
      <c r="C112" s="285"/>
      <c r="D112" s="286"/>
      <c r="E112" s="286" t="s">
        <v>97</v>
      </c>
      <c r="F112" s="288"/>
      <c r="G112" s="288"/>
      <c r="H112" s="288"/>
      <c r="I112" s="289"/>
      <c r="J112" s="289" t="s">
        <v>502</v>
      </c>
      <c r="K112" s="289"/>
      <c r="L112" s="288"/>
      <c r="M112" s="288"/>
      <c r="N112" s="288"/>
      <c r="O112" s="286" t="s">
        <v>139</v>
      </c>
      <c r="P112" s="269">
        <f t="shared" si="12"/>
        <v>215000</v>
      </c>
      <c r="Q112" s="270">
        <f t="shared" si="13"/>
        <v>215000</v>
      </c>
      <c r="R112" s="271">
        <f t="shared" si="14"/>
        <v>0</v>
      </c>
      <c r="S112" s="271">
        <f t="shared" si="15"/>
        <v>0</v>
      </c>
      <c r="T112" s="271">
        <f t="shared" si="16"/>
        <v>0</v>
      </c>
      <c r="U112" s="272">
        <f t="shared" si="17"/>
        <v>0</v>
      </c>
      <c r="V112" s="362">
        <v>215000</v>
      </c>
      <c r="W112" s="361"/>
      <c r="X112" s="291"/>
      <c r="Y112" s="362"/>
      <c r="Z112" s="361"/>
      <c r="AA112" s="293"/>
      <c r="AB112" s="513"/>
      <c r="AC112" s="514"/>
      <c r="AD112" s="515"/>
      <c r="AE112" s="516"/>
      <c r="AF112" s="514"/>
      <c r="AG112" s="515"/>
      <c r="AH112" s="516"/>
      <c r="AI112" s="514"/>
      <c r="AJ112" s="515"/>
      <c r="AK112" s="294"/>
      <c r="AL112" s="277" t="s">
        <v>396</v>
      </c>
      <c r="AM112" s="342"/>
      <c r="AN112" s="344"/>
      <c r="AO112" s="335">
        <v>27423</v>
      </c>
      <c r="AP112" s="260">
        <v>0</v>
      </c>
      <c r="AQ112" s="336">
        <v>0</v>
      </c>
      <c r="AR112" s="259" t="s">
        <v>503</v>
      </c>
    </row>
    <row r="113" spans="1:44" s="19" customFormat="1" ht="43.5" x14ac:dyDescent="0.35">
      <c r="A113" s="303" t="s">
        <v>197</v>
      </c>
      <c r="B113" s="285" t="s">
        <v>118</v>
      </c>
      <c r="C113" s="285"/>
      <c r="D113" s="286"/>
      <c r="E113" s="286" t="s">
        <v>97</v>
      </c>
      <c r="F113" s="288"/>
      <c r="G113" s="288"/>
      <c r="H113" s="288"/>
      <c r="I113" s="289"/>
      <c r="J113" s="289" t="s">
        <v>504</v>
      </c>
      <c r="K113" s="289"/>
      <c r="L113" s="288"/>
      <c r="M113" s="288"/>
      <c r="N113" s="288"/>
      <c r="O113" s="286" t="s">
        <v>139</v>
      </c>
      <c r="P113" s="269">
        <f t="shared" si="12"/>
        <v>160000</v>
      </c>
      <c r="Q113" s="270">
        <f t="shared" si="13"/>
        <v>160000</v>
      </c>
      <c r="R113" s="271">
        <f t="shared" si="14"/>
        <v>0</v>
      </c>
      <c r="S113" s="271">
        <f t="shared" si="15"/>
        <v>0</v>
      </c>
      <c r="T113" s="271">
        <f t="shared" si="16"/>
        <v>0</v>
      </c>
      <c r="U113" s="272">
        <f t="shared" si="17"/>
        <v>0</v>
      </c>
      <c r="V113" s="362">
        <v>160000</v>
      </c>
      <c r="W113" s="361"/>
      <c r="X113" s="291"/>
      <c r="Y113" s="362"/>
      <c r="Z113" s="361"/>
      <c r="AA113" s="293"/>
      <c r="AB113" s="513"/>
      <c r="AC113" s="514"/>
      <c r="AD113" s="515"/>
      <c r="AE113" s="516"/>
      <c r="AF113" s="514"/>
      <c r="AG113" s="515"/>
      <c r="AH113" s="516"/>
      <c r="AI113" s="514"/>
      <c r="AJ113" s="515"/>
      <c r="AK113" s="294"/>
      <c r="AL113" s="277" t="s">
        <v>126</v>
      </c>
      <c r="AM113" s="342" t="s">
        <v>481</v>
      </c>
      <c r="AN113" s="344"/>
      <c r="AO113" s="335">
        <v>15043</v>
      </c>
      <c r="AP113" s="260">
        <v>0</v>
      </c>
      <c r="AQ113" s="336">
        <v>0</v>
      </c>
      <c r="AR113" s="259" t="s">
        <v>503</v>
      </c>
    </row>
    <row r="114" spans="1:44" s="19" customFormat="1" ht="43.5" x14ac:dyDescent="0.35">
      <c r="A114" s="303" t="s">
        <v>197</v>
      </c>
      <c r="B114" s="285" t="s">
        <v>118</v>
      </c>
      <c r="C114" s="285"/>
      <c r="D114" s="286"/>
      <c r="E114" s="286" t="s">
        <v>97</v>
      </c>
      <c r="F114" s="288"/>
      <c r="G114" s="288"/>
      <c r="H114" s="288"/>
      <c r="I114" s="289"/>
      <c r="J114" s="289" t="s">
        <v>505</v>
      </c>
      <c r="K114" s="289"/>
      <c r="L114" s="288"/>
      <c r="M114" s="288"/>
      <c r="N114" s="288"/>
      <c r="O114" s="286" t="s">
        <v>139</v>
      </c>
      <c r="P114" s="269">
        <f t="shared" si="12"/>
        <v>16320</v>
      </c>
      <c r="Q114" s="270">
        <f t="shared" si="13"/>
        <v>16320</v>
      </c>
      <c r="R114" s="271">
        <f t="shared" si="14"/>
        <v>0</v>
      </c>
      <c r="S114" s="271">
        <f t="shared" si="15"/>
        <v>0</v>
      </c>
      <c r="T114" s="271">
        <f t="shared" si="16"/>
        <v>0</v>
      </c>
      <c r="U114" s="272">
        <f t="shared" si="17"/>
        <v>0</v>
      </c>
      <c r="V114" s="362">
        <v>16320</v>
      </c>
      <c r="W114" s="361"/>
      <c r="X114" s="291"/>
      <c r="Y114" s="362"/>
      <c r="Z114" s="361"/>
      <c r="AA114" s="293"/>
      <c r="AB114" s="513"/>
      <c r="AC114" s="514"/>
      <c r="AD114" s="515"/>
      <c r="AE114" s="516"/>
      <c r="AF114" s="514"/>
      <c r="AG114" s="515"/>
      <c r="AH114" s="516"/>
      <c r="AI114" s="514"/>
      <c r="AJ114" s="515"/>
      <c r="AK114" s="294"/>
      <c r="AL114" s="277" t="s">
        <v>126</v>
      </c>
      <c r="AM114" s="342" t="s">
        <v>481</v>
      </c>
      <c r="AN114" s="344"/>
      <c r="AO114" s="335">
        <v>16320</v>
      </c>
      <c r="AP114" s="260">
        <v>0</v>
      </c>
      <c r="AQ114" s="336">
        <v>0</v>
      </c>
      <c r="AR114" s="259" t="s">
        <v>506</v>
      </c>
    </row>
    <row r="115" spans="1:44" s="19" customFormat="1" ht="29" x14ac:dyDescent="0.35">
      <c r="A115" s="303" t="s">
        <v>197</v>
      </c>
      <c r="B115" s="285" t="s">
        <v>118</v>
      </c>
      <c r="C115" s="285"/>
      <c r="D115" s="286"/>
      <c r="E115" s="286" t="s">
        <v>97</v>
      </c>
      <c r="F115" s="288"/>
      <c r="G115" s="288"/>
      <c r="H115" s="288"/>
      <c r="I115" s="289"/>
      <c r="J115" s="289" t="s">
        <v>507</v>
      </c>
      <c r="K115" s="289"/>
      <c r="L115" s="288"/>
      <c r="M115" s="288"/>
      <c r="N115" s="288"/>
      <c r="O115" s="286" t="s">
        <v>139</v>
      </c>
      <c r="P115" s="269">
        <f t="shared" si="12"/>
        <v>150000</v>
      </c>
      <c r="Q115" s="270">
        <f t="shared" si="13"/>
        <v>150000</v>
      </c>
      <c r="R115" s="271">
        <f t="shared" si="14"/>
        <v>0</v>
      </c>
      <c r="S115" s="271">
        <f t="shared" si="15"/>
        <v>0</v>
      </c>
      <c r="T115" s="271">
        <f t="shared" si="16"/>
        <v>0</v>
      </c>
      <c r="U115" s="272">
        <f t="shared" si="17"/>
        <v>0</v>
      </c>
      <c r="V115" s="362">
        <v>150000</v>
      </c>
      <c r="W115" s="361"/>
      <c r="X115" s="291"/>
      <c r="Y115" s="362"/>
      <c r="Z115" s="361"/>
      <c r="AA115" s="293"/>
      <c r="AB115" s="513"/>
      <c r="AC115" s="514"/>
      <c r="AD115" s="515"/>
      <c r="AE115" s="516"/>
      <c r="AF115" s="514"/>
      <c r="AG115" s="515"/>
      <c r="AH115" s="516"/>
      <c r="AI115" s="514"/>
      <c r="AJ115" s="515"/>
      <c r="AK115" s="294"/>
      <c r="AL115" s="277"/>
      <c r="AM115" s="342"/>
      <c r="AN115" s="344"/>
      <c r="AO115" s="335">
        <v>0</v>
      </c>
      <c r="AP115" s="260">
        <v>0</v>
      </c>
      <c r="AQ115" s="336">
        <v>0</v>
      </c>
      <c r="AR115" s="259" t="s">
        <v>508</v>
      </c>
    </row>
    <row r="116" spans="1:44" s="19" customFormat="1" ht="29" x14ac:dyDescent="0.35">
      <c r="A116" s="303" t="s">
        <v>197</v>
      </c>
      <c r="B116" s="285" t="s">
        <v>118</v>
      </c>
      <c r="C116" s="285"/>
      <c r="D116" s="286"/>
      <c r="E116" s="286" t="s">
        <v>97</v>
      </c>
      <c r="F116" s="288"/>
      <c r="G116" s="288"/>
      <c r="H116" s="288"/>
      <c r="I116" s="289"/>
      <c r="J116" s="289" t="s">
        <v>509</v>
      </c>
      <c r="K116" s="289"/>
      <c r="L116" s="288"/>
      <c r="M116" s="288"/>
      <c r="N116" s="288"/>
      <c r="O116" s="286" t="s">
        <v>139</v>
      </c>
      <c r="P116" s="269">
        <f t="shared" si="12"/>
        <v>100000</v>
      </c>
      <c r="Q116" s="270">
        <f t="shared" si="13"/>
        <v>100000</v>
      </c>
      <c r="R116" s="271">
        <f t="shared" si="14"/>
        <v>0</v>
      </c>
      <c r="S116" s="271">
        <f t="shared" si="15"/>
        <v>0</v>
      </c>
      <c r="T116" s="271">
        <f t="shared" si="16"/>
        <v>0</v>
      </c>
      <c r="U116" s="272">
        <f t="shared" si="17"/>
        <v>0</v>
      </c>
      <c r="V116" s="362">
        <v>100000</v>
      </c>
      <c r="W116" s="361"/>
      <c r="X116" s="291"/>
      <c r="Y116" s="362"/>
      <c r="Z116" s="361"/>
      <c r="AA116" s="293"/>
      <c r="AB116" s="513"/>
      <c r="AC116" s="514"/>
      <c r="AD116" s="515"/>
      <c r="AE116" s="516"/>
      <c r="AF116" s="514"/>
      <c r="AG116" s="515"/>
      <c r="AH116" s="516"/>
      <c r="AI116" s="514"/>
      <c r="AJ116" s="515"/>
      <c r="AK116" s="294"/>
      <c r="AL116" s="277"/>
      <c r="AM116" s="342"/>
      <c r="AN116" s="344"/>
      <c r="AO116" s="335">
        <v>0</v>
      </c>
      <c r="AP116" s="260">
        <v>0</v>
      </c>
      <c r="AQ116" s="336">
        <v>0</v>
      </c>
      <c r="AR116" s="259" t="s">
        <v>510</v>
      </c>
    </row>
    <row r="117" spans="1:44" s="19" customFormat="1" ht="29" x14ac:dyDescent="0.35">
      <c r="A117" s="303" t="s">
        <v>197</v>
      </c>
      <c r="B117" s="285" t="s">
        <v>118</v>
      </c>
      <c r="C117" s="285"/>
      <c r="D117" s="286"/>
      <c r="E117" s="286" t="s">
        <v>97</v>
      </c>
      <c r="F117" s="288"/>
      <c r="G117" s="288"/>
      <c r="H117" s="288"/>
      <c r="I117" s="289"/>
      <c r="J117" s="289" t="s">
        <v>511</v>
      </c>
      <c r="K117" s="289"/>
      <c r="L117" s="288"/>
      <c r="M117" s="288"/>
      <c r="N117" s="288"/>
      <c r="O117" s="286" t="s">
        <v>139</v>
      </c>
      <c r="P117" s="269">
        <f t="shared" si="12"/>
        <v>500000</v>
      </c>
      <c r="Q117" s="270">
        <f t="shared" si="13"/>
        <v>500000</v>
      </c>
      <c r="R117" s="271">
        <f t="shared" si="14"/>
        <v>0</v>
      </c>
      <c r="S117" s="271">
        <f t="shared" si="15"/>
        <v>0</v>
      </c>
      <c r="T117" s="271">
        <f t="shared" si="16"/>
        <v>0</v>
      </c>
      <c r="U117" s="272">
        <f t="shared" si="17"/>
        <v>0</v>
      </c>
      <c r="V117" s="362">
        <v>500000</v>
      </c>
      <c r="W117" s="361"/>
      <c r="X117" s="291"/>
      <c r="Y117" s="362"/>
      <c r="Z117" s="361"/>
      <c r="AA117" s="293"/>
      <c r="AB117" s="513"/>
      <c r="AC117" s="514"/>
      <c r="AD117" s="515"/>
      <c r="AE117" s="516"/>
      <c r="AF117" s="514"/>
      <c r="AG117" s="515"/>
      <c r="AH117" s="516"/>
      <c r="AI117" s="514"/>
      <c r="AJ117" s="515"/>
      <c r="AK117" s="294"/>
      <c r="AL117" s="277"/>
      <c r="AM117" s="342"/>
      <c r="AN117" s="344"/>
      <c r="AO117" s="335">
        <v>313549</v>
      </c>
      <c r="AP117" s="260">
        <v>0</v>
      </c>
      <c r="AQ117" s="336">
        <v>1633</v>
      </c>
      <c r="AR117" s="259" t="s">
        <v>512</v>
      </c>
    </row>
    <row r="118" spans="1:44" s="19" customFormat="1" ht="29" x14ac:dyDescent="0.35">
      <c r="A118" s="303" t="s">
        <v>197</v>
      </c>
      <c r="B118" s="285" t="s">
        <v>118</v>
      </c>
      <c r="C118" s="285"/>
      <c r="D118" s="286"/>
      <c r="E118" s="286" t="s">
        <v>97</v>
      </c>
      <c r="F118" s="288"/>
      <c r="G118" s="288"/>
      <c r="H118" s="288"/>
      <c r="I118" s="289"/>
      <c r="J118" s="289" t="s">
        <v>513</v>
      </c>
      <c r="K118" s="289"/>
      <c r="L118" s="288"/>
      <c r="M118" s="288"/>
      <c r="N118" s="288"/>
      <c r="O118" s="286" t="s">
        <v>139</v>
      </c>
      <c r="P118" s="269">
        <f t="shared" si="12"/>
        <v>20000</v>
      </c>
      <c r="Q118" s="270">
        <f t="shared" si="13"/>
        <v>20000</v>
      </c>
      <c r="R118" s="271">
        <f t="shared" si="14"/>
        <v>0</v>
      </c>
      <c r="S118" s="271">
        <f t="shared" si="15"/>
        <v>0</v>
      </c>
      <c r="T118" s="271">
        <f t="shared" si="16"/>
        <v>0</v>
      </c>
      <c r="U118" s="272">
        <f t="shared" si="17"/>
        <v>0</v>
      </c>
      <c r="V118" s="362">
        <v>20000</v>
      </c>
      <c r="W118" s="361"/>
      <c r="X118" s="291"/>
      <c r="Y118" s="362"/>
      <c r="Z118" s="361"/>
      <c r="AA118" s="293"/>
      <c r="AB118" s="513"/>
      <c r="AC118" s="514"/>
      <c r="AD118" s="515"/>
      <c r="AE118" s="516"/>
      <c r="AF118" s="514"/>
      <c r="AG118" s="515"/>
      <c r="AH118" s="516"/>
      <c r="AI118" s="514"/>
      <c r="AJ118" s="515"/>
      <c r="AK118" s="294"/>
      <c r="AL118" s="277" t="s">
        <v>136</v>
      </c>
      <c r="AM118" s="342" t="s">
        <v>514</v>
      </c>
      <c r="AN118" s="344"/>
      <c r="AO118" s="335">
        <v>0</v>
      </c>
      <c r="AP118" s="260">
        <v>0</v>
      </c>
      <c r="AQ118" s="336">
        <v>0</v>
      </c>
      <c r="AR118" s="259" t="s">
        <v>515</v>
      </c>
    </row>
    <row r="119" spans="1:44" s="19" customFormat="1" ht="58" x14ac:dyDescent="0.35">
      <c r="A119" s="303" t="s">
        <v>197</v>
      </c>
      <c r="B119" s="285" t="s">
        <v>118</v>
      </c>
      <c r="C119" s="285"/>
      <c r="D119" s="286"/>
      <c r="E119" s="286" t="s">
        <v>97</v>
      </c>
      <c r="F119" s="288"/>
      <c r="G119" s="288"/>
      <c r="H119" s="288"/>
      <c r="I119" s="289"/>
      <c r="J119" s="289" t="s">
        <v>516</v>
      </c>
      <c r="K119" s="289"/>
      <c r="L119" s="288"/>
      <c r="M119" s="288"/>
      <c r="N119" s="288"/>
      <c r="O119" s="286" t="s">
        <v>279</v>
      </c>
      <c r="P119" s="269">
        <f t="shared" si="7"/>
        <v>222667</v>
      </c>
      <c r="Q119" s="270">
        <f t="shared" si="2"/>
        <v>222667</v>
      </c>
      <c r="R119" s="271">
        <f t="shared" si="8"/>
        <v>0</v>
      </c>
      <c r="S119" s="271">
        <f t="shared" si="9"/>
        <v>0</v>
      </c>
      <c r="T119" s="271">
        <f t="shared" si="10"/>
        <v>0</v>
      </c>
      <c r="U119" s="272">
        <f t="shared" si="11"/>
        <v>0</v>
      </c>
      <c r="V119" s="362">
        <v>222667</v>
      </c>
      <c r="W119" s="361"/>
      <c r="X119" s="291"/>
      <c r="Y119" s="362"/>
      <c r="Z119" s="361"/>
      <c r="AA119" s="293"/>
      <c r="AB119" s="513"/>
      <c r="AC119" s="514"/>
      <c r="AD119" s="515"/>
      <c r="AE119" s="516"/>
      <c r="AF119" s="514"/>
      <c r="AG119" s="515"/>
      <c r="AH119" s="516"/>
      <c r="AI119" s="514"/>
      <c r="AJ119" s="515"/>
      <c r="AK119" s="294"/>
      <c r="AL119" s="277" t="s">
        <v>136</v>
      </c>
      <c r="AM119" s="342" t="s">
        <v>514</v>
      </c>
      <c r="AN119" s="344"/>
      <c r="AO119" s="335">
        <v>222667</v>
      </c>
      <c r="AP119" s="260"/>
      <c r="AQ119" s="336"/>
      <c r="AR119" s="259" t="s">
        <v>517</v>
      </c>
    </row>
    <row r="120" spans="1:44" s="19" customFormat="1" ht="29" x14ac:dyDescent="0.35">
      <c r="A120" s="303" t="s">
        <v>197</v>
      </c>
      <c r="B120" s="285" t="s">
        <v>118</v>
      </c>
      <c r="C120" s="285"/>
      <c r="D120" s="286"/>
      <c r="E120" s="286" t="s">
        <v>97</v>
      </c>
      <c r="F120" s="288"/>
      <c r="G120" s="288"/>
      <c r="H120" s="288"/>
      <c r="I120" s="289"/>
      <c r="J120" s="289" t="s">
        <v>518</v>
      </c>
      <c r="K120" s="289"/>
      <c r="L120" s="288"/>
      <c r="M120" s="288"/>
      <c r="N120" s="288"/>
      <c r="O120" s="286" t="s">
        <v>139</v>
      </c>
      <c r="P120" s="269">
        <f t="shared" si="7"/>
        <v>83000</v>
      </c>
      <c r="Q120" s="270">
        <f t="shared" si="2"/>
        <v>83000</v>
      </c>
      <c r="R120" s="271">
        <f t="shared" si="8"/>
        <v>0</v>
      </c>
      <c r="S120" s="271">
        <f t="shared" si="9"/>
        <v>0</v>
      </c>
      <c r="T120" s="271">
        <f t="shared" si="10"/>
        <v>0</v>
      </c>
      <c r="U120" s="272">
        <f t="shared" si="11"/>
        <v>0</v>
      </c>
      <c r="V120" s="362">
        <v>83000</v>
      </c>
      <c r="W120" s="361"/>
      <c r="X120" s="291"/>
      <c r="Y120" s="362"/>
      <c r="Z120" s="361"/>
      <c r="AA120" s="293"/>
      <c r="AB120" s="513"/>
      <c r="AC120" s="514"/>
      <c r="AD120" s="515"/>
      <c r="AE120" s="516"/>
      <c r="AF120" s="514"/>
      <c r="AG120" s="515"/>
      <c r="AH120" s="516"/>
      <c r="AI120" s="514"/>
      <c r="AJ120" s="515"/>
      <c r="AK120" s="294"/>
      <c r="AL120" s="277" t="s">
        <v>136</v>
      </c>
      <c r="AM120" s="342" t="s">
        <v>514</v>
      </c>
      <c r="AN120" s="344"/>
      <c r="AO120" s="335">
        <v>19101</v>
      </c>
      <c r="AP120" s="260"/>
      <c r="AQ120" s="336"/>
      <c r="AR120" s="259" t="s">
        <v>503</v>
      </c>
    </row>
    <row r="121" spans="1:44" s="19" customFormat="1" ht="43.5" x14ac:dyDescent="0.35">
      <c r="A121" s="303" t="s">
        <v>197</v>
      </c>
      <c r="B121" s="285" t="s">
        <v>118</v>
      </c>
      <c r="C121" s="285"/>
      <c r="D121" s="286"/>
      <c r="E121" s="286" t="s">
        <v>97</v>
      </c>
      <c r="F121" s="288"/>
      <c r="G121" s="288"/>
      <c r="H121" s="288"/>
      <c r="I121" s="289"/>
      <c r="J121" s="289" t="s">
        <v>519</v>
      </c>
      <c r="K121" s="289"/>
      <c r="L121" s="288"/>
      <c r="M121" s="288"/>
      <c r="N121" s="288"/>
      <c r="O121" s="286" t="s">
        <v>139</v>
      </c>
      <c r="P121" s="269">
        <f t="shared" si="7"/>
        <v>69600</v>
      </c>
      <c r="Q121" s="270">
        <f t="shared" si="2"/>
        <v>69600</v>
      </c>
      <c r="R121" s="271">
        <f t="shared" si="8"/>
        <v>0</v>
      </c>
      <c r="S121" s="271">
        <f t="shared" si="9"/>
        <v>0</v>
      </c>
      <c r="T121" s="271">
        <f t="shared" si="10"/>
        <v>0</v>
      </c>
      <c r="U121" s="272">
        <f t="shared" si="11"/>
        <v>0</v>
      </c>
      <c r="V121" s="362">
        <v>69600</v>
      </c>
      <c r="W121" s="361"/>
      <c r="X121" s="291"/>
      <c r="Y121" s="362"/>
      <c r="Z121" s="361"/>
      <c r="AA121" s="293"/>
      <c r="AB121" s="513"/>
      <c r="AC121" s="514"/>
      <c r="AD121" s="515"/>
      <c r="AE121" s="516"/>
      <c r="AF121" s="514"/>
      <c r="AG121" s="515"/>
      <c r="AH121" s="516"/>
      <c r="AI121" s="514"/>
      <c r="AJ121" s="515"/>
      <c r="AK121" s="294"/>
      <c r="AL121" s="277" t="s">
        <v>136</v>
      </c>
      <c r="AM121" s="342" t="s">
        <v>514</v>
      </c>
      <c r="AN121" s="344"/>
      <c r="AO121" s="335">
        <v>61400</v>
      </c>
      <c r="AP121" s="260">
        <v>0</v>
      </c>
      <c r="AQ121" s="336">
        <v>0</v>
      </c>
      <c r="AR121" s="259" t="s">
        <v>520</v>
      </c>
    </row>
    <row r="122" spans="1:44" s="19" customFormat="1" ht="145" x14ac:dyDescent="0.35">
      <c r="A122" s="303" t="s">
        <v>208</v>
      </c>
      <c r="B122" s="285" t="s">
        <v>2</v>
      </c>
      <c r="C122" s="285"/>
      <c r="D122" s="286" t="s">
        <v>521</v>
      </c>
      <c r="E122" s="286" t="s">
        <v>97</v>
      </c>
      <c r="F122" s="288" t="s">
        <v>158</v>
      </c>
      <c r="G122" s="288" t="s">
        <v>133</v>
      </c>
      <c r="H122" s="288"/>
      <c r="I122" s="289" t="s">
        <v>209</v>
      </c>
      <c r="J122" s="289" t="s">
        <v>522</v>
      </c>
      <c r="K122" s="289" t="s">
        <v>523</v>
      </c>
      <c r="L122" s="288"/>
      <c r="M122" s="288"/>
      <c r="N122" s="288"/>
      <c r="O122" s="286" t="s">
        <v>104</v>
      </c>
      <c r="P122" s="269">
        <f t="shared" si="7"/>
        <v>603974</v>
      </c>
      <c r="Q122" s="270">
        <f t="shared" si="2"/>
        <v>51379</v>
      </c>
      <c r="R122" s="271">
        <f t="shared" si="8"/>
        <v>257896</v>
      </c>
      <c r="S122" s="271">
        <f t="shared" si="9"/>
        <v>113291</v>
      </c>
      <c r="T122" s="271">
        <f t="shared" si="10"/>
        <v>118956</v>
      </c>
      <c r="U122" s="272">
        <f t="shared" si="11"/>
        <v>62452</v>
      </c>
      <c r="V122" s="362"/>
      <c r="W122" s="361">
        <v>51379</v>
      </c>
      <c r="X122" s="291"/>
      <c r="Y122" s="362"/>
      <c r="Z122" s="361">
        <v>107896</v>
      </c>
      <c r="AA122" s="293">
        <v>150000</v>
      </c>
      <c r="AB122" s="513"/>
      <c r="AC122" s="514">
        <v>113291</v>
      </c>
      <c r="AD122" s="515"/>
      <c r="AE122" s="516"/>
      <c r="AF122" s="514">
        <v>118956</v>
      </c>
      <c r="AG122" s="515"/>
      <c r="AH122" s="516"/>
      <c r="AI122" s="514">
        <v>62452</v>
      </c>
      <c r="AJ122" s="515"/>
      <c r="AK122" s="294"/>
      <c r="AL122" s="277" t="s">
        <v>136</v>
      </c>
      <c r="AM122" s="342" t="s">
        <v>514</v>
      </c>
      <c r="AN122" s="344"/>
      <c r="AO122" s="335">
        <v>0</v>
      </c>
      <c r="AP122" s="260">
        <v>0</v>
      </c>
      <c r="AQ122" s="336">
        <v>0</v>
      </c>
      <c r="AR122" s="259" t="s">
        <v>524</v>
      </c>
    </row>
    <row r="123" spans="1:44" s="19" customFormat="1" ht="87" x14ac:dyDescent="0.35">
      <c r="A123" s="303" t="s">
        <v>197</v>
      </c>
      <c r="B123" s="285" t="s">
        <v>118</v>
      </c>
      <c r="C123" s="285"/>
      <c r="D123" s="286" t="s">
        <v>119</v>
      </c>
      <c r="E123" s="286" t="s">
        <v>97</v>
      </c>
      <c r="F123" s="288" t="s">
        <v>120</v>
      </c>
      <c r="G123" s="288" t="s">
        <v>121</v>
      </c>
      <c r="H123" s="288"/>
      <c r="I123" s="289" t="s">
        <v>122</v>
      </c>
      <c r="J123" s="289" t="s">
        <v>123</v>
      </c>
      <c r="K123" s="289" t="s">
        <v>124</v>
      </c>
      <c r="L123" s="288"/>
      <c r="M123" s="288"/>
      <c r="N123" s="288"/>
      <c r="O123" s="286" t="s">
        <v>104</v>
      </c>
      <c r="P123" s="269">
        <f t="shared" si="7"/>
        <v>176364</v>
      </c>
      <c r="Q123" s="270">
        <f t="shared" si="2"/>
        <v>20137</v>
      </c>
      <c r="R123" s="271">
        <f t="shared" si="8"/>
        <v>36246</v>
      </c>
      <c r="S123" s="271">
        <f t="shared" si="9"/>
        <v>38059</v>
      </c>
      <c r="T123" s="271">
        <f t="shared" si="10"/>
        <v>39962</v>
      </c>
      <c r="U123" s="272">
        <f t="shared" si="11"/>
        <v>41960</v>
      </c>
      <c r="V123" s="362"/>
      <c r="W123" s="361">
        <v>20137</v>
      </c>
      <c r="X123" s="291"/>
      <c r="Y123" s="362"/>
      <c r="Z123" s="361">
        <v>36246</v>
      </c>
      <c r="AA123" s="293"/>
      <c r="AB123" s="513"/>
      <c r="AC123" s="514">
        <v>38059</v>
      </c>
      <c r="AD123" s="515"/>
      <c r="AE123" s="516"/>
      <c r="AF123" s="514">
        <v>39962</v>
      </c>
      <c r="AG123" s="515"/>
      <c r="AH123" s="516"/>
      <c r="AI123" s="514">
        <v>41960</v>
      </c>
      <c r="AJ123" s="515"/>
      <c r="AK123" s="294"/>
      <c r="AL123" s="277" t="s">
        <v>126</v>
      </c>
      <c r="AM123" s="342" t="s">
        <v>481</v>
      </c>
      <c r="AN123" s="344"/>
      <c r="AO123" s="335">
        <v>0</v>
      </c>
      <c r="AP123" s="260">
        <v>9323.42</v>
      </c>
      <c r="AQ123" s="336">
        <v>0</v>
      </c>
      <c r="AR123" s="259" t="s">
        <v>316</v>
      </c>
    </row>
    <row r="124" spans="1:44" s="19" customFormat="1" ht="72.5" x14ac:dyDescent="0.35">
      <c r="A124" s="303" t="s">
        <v>197</v>
      </c>
      <c r="B124" s="285" t="s">
        <v>128</v>
      </c>
      <c r="C124" s="285"/>
      <c r="D124" s="286" t="s">
        <v>129</v>
      </c>
      <c r="E124" s="286" t="s">
        <v>97</v>
      </c>
      <c r="F124" s="288" t="s">
        <v>120</v>
      </c>
      <c r="G124" s="288" t="s">
        <v>121</v>
      </c>
      <c r="H124" s="288"/>
      <c r="I124" s="289" t="s">
        <v>317</v>
      </c>
      <c r="J124" s="289" t="s">
        <v>212</v>
      </c>
      <c r="K124" s="289" t="s">
        <v>318</v>
      </c>
      <c r="L124" s="288"/>
      <c r="M124" s="288"/>
      <c r="N124" s="288"/>
      <c r="O124" s="286" t="s">
        <v>104</v>
      </c>
      <c r="P124" s="269">
        <f t="shared" si="7"/>
        <v>240000</v>
      </c>
      <c r="Q124" s="270">
        <f t="shared" si="2"/>
        <v>40000</v>
      </c>
      <c r="R124" s="271">
        <f t="shared" si="8"/>
        <v>50000</v>
      </c>
      <c r="S124" s="271">
        <f t="shared" si="9"/>
        <v>50000</v>
      </c>
      <c r="T124" s="271">
        <f t="shared" si="10"/>
        <v>50000</v>
      </c>
      <c r="U124" s="272">
        <f t="shared" si="11"/>
        <v>50000</v>
      </c>
      <c r="V124" s="362"/>
      <c r="W124" s="361"/>
      <c r="X124" s="291">
        <v>40000</v>
      </c>
      <c r="Y124" s="362"/>
      <c r="Z124" s="361"/>
      <c r="AA124" s="293">
        <v>50000</v>
      </c>
      <c r="AB124" s="513"/>
      <c r="AC124" s="514"/>
      <c r="AD124" s="515">
        <v>50000</v>
      </c>
      <c r="AE124" s="516"/>
      <c r="AF124" s="514"/>
      <c r="AG124" s="515">
        <v>50000</v>
      </c>
      <c r="AH124" s="516"/>
      <c r="AI124" s="514"/>
      <c r="AJ124" s="515">
        <v>50000</v>
      </c>
      <c r="AK124" s="294"/>
      <c r="AL124" s="277" t="s">
        <v>136</v>
      </c>
      <c r="AM124" s="342" t="s">
        <v>514</v>
      </c>
      <c r="AN124" s="344"/>
      <c r="AO124" s="335">
        <v>0</v>
      </c>
      <c r="AP124" s="260">
        <v>0</v>
      </c>
      <c r="AQ124" s="336">
        <v>0</v>
      </c>
      <c r="AR124" s="259" t="s">
        <v>319</v>
      </c>
    </row>
    <row r="125" spans="1:44" s="19" customFormat="1" ht="203" x14ac:dyDescent="0.35">
      <c r="A125" s="303" t="s">
        <v>208</v>
      </c>
      <c r="B125" s="285" t="s">
        <v>2</v>
      </c>
      <c r="C125" s="285"/>
      <c r="D125" s="286" t="s">
        <v>213</v>
      </c>
      <c r="E125" s="286" t="s">
        <v>97</v>
      </c>
      <c r="F125" s="288" t="s">
        <v>120</v>
      </c>
      <c r="G125" s="288" t="s">
        <v>133</v>
      </c>
      <c r="H125" s="288"/>
      <c r="I125" s="289" t="s">
        <v>214</v>
      </c>
      <c r="J125" s="289" t="s">
        <v>215</v>
      </c>
      <c r="K125" s="289" t="s">
        <v>216</v>
      </c>
      <c r="L125" s="288"/>
      <c r="M125" s="288"/>
      <c r="N125" s="288"/>
      <c r="O125" s="286" t="s">
        <v>104</v>
      </c>
      <c r="P125" s="269">
        <f t="shared" si="7"/>
        <v>60000</v>
      </c>
      <c r="Q125" s="270">
        <f t="shared" si="2"/>
        <v>0</v>
      </c>
      <c r="R125" s="271">
        <f t="shared" si="8"/>
        <v>60000</v>
      </c>
      <c r="S125" s="271">
        <f t="shared" si="9"/>
        <v>0</v>
      </c>
      <c r="T125" s="271">
        <f t="shared" si="10"/>
        <v>0</v>
      </c>
      <c r="U125" s="272">
        <f t="shared" si="11"/>
        <v>0</v>
      </c>
      <c r="V125" s="362"/>
      <c r="W125" s="361"/>
      <c r="X125" s="291"/>
      <c r="Y125" s="362"/>
      <c r="Z125" s="361"/>
      <c r="AA125" s="293">
        <v>60000</v>
      </c>
      <c r="AB125" s="513"/>
      <c r="AC125" s="514"/>
      <c r="AD125" s="515"/>
      <c r="AE125" s="516"/>
      <c r="AF125" s="514"/>
      <c r="AG125" s="515"/>
      <c r="AH125" s="516"/>
      <c r="AI125" s="514"/>
      <c r="AJ125" s="515"/>
      <c r="AK125" s="294"/>
      <c r="AL125" s="277" t="s">
        <v>136</v>
      </c>
      <c r="AM125" s="342" t="s">
        <v>514</v>
      </c>
      <c r="AN125" s="344"/>
      <c r="AO125" s="335">
        <v>0</v>
      </c>
      <c r="AP125" s="260">
        <v>0</v>
      </c>
      <c r="AQ125" s="336">
        <v>0</v>
      </c>
      <c r="AR125" s="259" t="s">
        <v>525</v>
      </c>
    </row>
    <row r="126" spans="1:44" s="19" customFormat="1" ht="15.5" x14ac:dyDescent="0.35">
      <c r="A126" s="303"/>
      <c r="B126" s="285"/>
      <c r="C126" s="285"/>
      <c r="D126" s="286"/>
      <c r="E126" s="286"/>
      <c r="F126" s="288"/>
      <c r="G126" s="288"/>
      <c r="H126" s="288"/>
      <c r="I126" s="289"/>
      <c r="J126" s="289"/>
      <c r="K126" s="289"/>
      <c r="L126" s="288"/>
      <c r="M126" s="288"/>
      <c r="N126" s="288"/>
      <c r="O126" s="286"/>
      <c r="P126" s="269">
        <f t="shared" si="7"/>
        <v>0</v>
      </c>
      <c r="Q126" s="270">
        <f t="shared" si="2"/>
        <v>0</v>
      </c>
      <c r="R126" s="271">
        <f t="shared" si="8"/>
        <v>0</v>
      </c>
      <c r="S126" s="271">
        <f t="shared" si="9"/>
        <v>0</v>
      </c>
      <c r="T126" s="271">
        <f t="shared" si="10"/>
        <v>0</v>
      </c>
      <c r="U126" s="272">
        <f t="shared" si="11"/>
        <v>0</v>
      </c>
      <c r="V126" s="362"/>
      <c r="W126" s="361"/>
      <c r="X126" s="291"/>
      <c r="Y126" s="362"/>
      <c r="Z126" s="361"/>
      <c r="AA126" s="293"/>
      <c r="AB126" s="513"/>
      <c r="AC126" s="514"/>
      <c r="AD126" s="515"/>
      <c r="AE126" s="516"/>
      <c r="AF126" s="514"/>
      <c r="AG126" s="515"/>
      <c r="AH126" s="516"/>
      <c r="AI126" s="514"/>
      <c r="AJ126" s="515"/>
      <c r="AK126" s="294"/>
      <c r="AL126" s="277"/>
      <c r="AM126" s="342"/>
      <c r="AN126" s="344"/>
      <c r="AO126" s="335"/>
      <c r="AP126" s="260"/>
      <c r="AQ126" s="336"/>
      <c r="AR126" s="259"/>
    </row>
    <row r="127" spans="1:44" s="19" customFormat="1" ht="15.5" x14ac:dyDescent="0.35">
      <c r="A127" s="303"/>
      <c r="B127" s="285"/>
      <c r="C127" s="285"/>
      <c r="D127" s="286"/>
      <c r="E127" s="286"/>
      <c r="F127" s="288"/>
      <c r="G127" s="288"/>
      <c r="H127" s="288"/>
      <c r="I127" s="289"/>
      <c r="J127" s="289"/>
      <c r="K127" s="289"/>
      <c r="L127" s="288"/>
      <c r="M127" s="288"/>
      <c r="N127" s="288"/>
      <c r="O127" s="286"/>
      <c r="P127" s="269">
        <f t="shared" si="7"/>
        <v>0</v>
      </c>
      <c r="Q127" s="270">
        <f t="shared" si="2"/>
        <v>0</v>
      </c>
      <c r="R127" s="271">
        <f t="shared" si="8"/>
        <v>0</v>
      </c>
      <c r="S127" s="271">
        <f t="shared" si="9"/>
        <v>0</v>
      </c>
      <c r="T127" s="271">
        <f t="shared" si="10"/>
        <v>0</v>
      </c>
      <c r="U127" s="272">
        <f t="shared" si="11"/>
        <v>0</v>
      </c>
      <c r="V127" s="362"/>
      <c r="W127" s="361"/>
      <c r="X127" s="291"/>
      <c r="Y127" s="362"/>
      <c r="Z127" s="361"/>
      <c r="AA127" s="293"/>
      <c r="AB127" s="513"/>
      <c r="AC127" s="514"/>
      <c r="AD127" s="515"/>
      <c r="AE127" s="516"/>
      <c r="AF127" s="514"/>
      <c r="AG127" s="515"/>
      <c r="AH127" s="516"/>
      <c r="AI127" s="514"/>
      <c r="AJ127" s="515"/>
      <c r="AK127" s="294"/>
      <c r="AL127" s="277"/>
      <c r="AM127" s="342"/>
      <c r="AN127" s="344"/>
      <c r="AO127" s="335"/>
      <c r="AP127" s="260"/>
      <c r="AQ127" s="336"/>
      <c r="AR127" s="259"/>
    </row>
    <row r="128" spans="1:44" s="36" customFormat="1" ht="15.5" x14ac:dyDescent="0.35">
      <c r="A128" s="303"/>
      <c r="B128" s="285"/>
      <c r="C128" s="285"/>
      <c r="D128" s="286"/>
      <c r="E128" s="286"/>
      <c r="F128" s="286"/>
      <c r="G128" s="286"/>
      <c r="H128" s="286"/>
      <c r="I128" s="286"/>
      <c r="J128" s="302"/>
      <c r="K128" s="286"/>
      <c r="L128" s="286"/>
      <c r="M128" s="286"/>
      <c r="N128" s="286"/>
      <c r="O128" s="286"/>
      <c r="P128" s="269">
        <f t="shared" si="7"/>
        <v>0</v>
      </c>
      <c r="Q128" s="270">
        <f t="shared" si="2"/>
        <v>0</v>
      </c>
      <c r="R128" s="271">
        <f t="shared" si="8"/>
        <v>0</v>
      </c>
      <c r="S128" s="271">
        <f t="shared" si="9"/>
        <v>0</v>
      </c>
      <c r="T128" s="271">
        <f t="shared" si="10"/>
        <v>0</v>
      </c>
      <c r="U128" s="272">
        <f t="shared" si="11"/>
        <v>0</v>
      </c>
      <c r="V128" s="362"/>
      <c r="W128" s="361"/>
      <c r="X128" s="291"/>
      <c r="Y128" s="362"/>
      <c r="Z128" s="361"/>
      <c r="AA128" s="293"/>
      <c r="AB128" s="513"/>
      <c r="AC128" s="514"/>
      <c r="AD128" s="515"/>
      <c r="AE128" s="516"/>
      <c r="AF128" s="514"/>
      <c r="AG128" s="515"/>
      <c r="AH128" s="516"/>
      <c r="AI128" s="514"/>
      <c r="AJ128" s="515"/>
      <c r="AK128" s="295"/>
      <c r="AL128" s="296"/>
      <c r="AM128" s="287"/>
      <c r="AN128" s="345"/>
      <c r="AO128" s="335"/>
      <c r="AP128" s="260"/>
      <c r="AQ128" s="336"/>
      <c r="AR128" s="259"/>
    </row>
    <row r="129" spans="1:44" s="19" customFormat="1" ht="15.5" x14ac:dyDescent="0.35">
      <c r="A129" s="303"/>
      <c r="B129" s="285"/>
      <c r="C129" s="285"/>
      <c r="D129" s="286"/>
      <c r="E129" s="286"/>
      <c r="F129" s="288"/>
      <c r="G129" s="288"/>
      <c r="H129" s="288"/>
      <c r="I129" s="289"/>
      <c r="J129" s="304"/>
      <c r="K129" s="289"/>
      <c r="L129" s="288"/>
      <c r="M129" s="288"/>
      <c r="N129" s="288"/>
      <c r="O129" s="286"/>
      <c r="P129" s="269">
        <f t="shared" si="7"/>
        <v>0</v>
      </c>
      <c r="Q129" s="270">
        <f t="shared" si="2"/>
        <v>0</v>
      </c>
      <c r="R129" s="271">
        <f t="shared" si="8"/>
        <v>0</v>
      </c>
      <c r="S129" s="271">
        <f t="shared" si="9"/>
        <v>0</v>
      </c>
      <c r="T129" s="271">
        <f t="shared" si="10"/>
        <v>0</v>
      </c>
      <c r="U129" s="272">
        <f t="shared" si="11"/>
        <v>0</v>
      </c>
      <c r="V129" s="362"/>
      <c r="W129" s="361"/>
      <c r="X129" s="291"/>
      <c r="Y129" s="362"/>
      <c r="Z129" s="361"/>
      <c r="AA129" s="293"/>
      <c r="AB129" s="513"/>
      <c r="AC129" s="514"/>
      <c r="AD129" s="515"/>
      <c r="AE129" s="516"/>
      <c r="AF129" s="514"/>
      <c r="AG129" s="515"/>
      <c r="AH129" s="516"/>
      <c r="AI129" s="514"/>
      <c r="AJ129" s="515"/>
      <c r="AK129" s="294"/>
      <c r="AL129" s="277"/>
      <c r="AM129" s="342"/>
      <c r="AN129" s="344"/>
      <c r="AO129" s="335"/>
      <c r="AP129" s="260"/>
      <c r="AQ129" s="336"/>
      <c r="AR129" s="259"/>
    </row>
    <row r="130" spans="1:44" s="19" customFormat="1" ht="15.5" x14ac:dyDescent="0.35">
      <c r="A130" s="303"/>
      <c r="B130" s="285"/>
      <c r="C130" s="285"/>
      <c r="D130" s="286"/>
      <c r="E130" s="286"/>
      <c r="F130" s="288"/>
      <c r="G130" s="288"/>
      <c r="H130" s="288"/>
      <c r="I130" s="289"/>
      <c r="J130" s="304"/>
      <c r="K130" s="289"/>
      <c r="L130" s="288"/>
      <c r="M130" s="288"/>
      <c r="N130" s="288"/>
      <c r="O130" s="286"/>
      <c r="P130" s="269">
        <f t="shared" si="7"/>
        <v>0</v>
      </c>
      <c r="Q130" s="270">
        <f t="shared" si="2"/>
        <v>0</v>
      </c>
      <c r="R130" s="271">
        <f t="shared" si="8"/>
        <v>0</v>
      </c>
      <c r="S130" s="271">
        <f t="shared" si="9"/>
        <v>0</v>
      </c>
      <c r="T130" s="271">
        <f t="shared" si="10"/>
        <v>0</v>
      </c>
      <c r="U130" s="272">
        <f t="shared" si="11"/>
        <v>0</v>
      </c>
      <c r="V130" s="362"/>
      <c r="W130" s="361"/>
      <c r="X130" s="291"/>
      <c r="Y130" s="362"/>
      <c r="Z130" s="361"/>
      <c r="AA130" s="293"/>
      <c r="AB130" s="513"/>
      <c r="AC130" s="514"/>
      <c r="AD130" s="515"/>
      <c r="AE130" s="516"/>
      <c r="AF130" s="514"/>
      <c r="AG130" s="515"/>
      <c r="AH130" s="516"/>
      <c r="AI130" s="514"/>
      <c r="AJ130" s="515"/>
      <c r="AK130" s="294"/>
      <c r="AL130" s="277"/>
      <c r="AM130" s="342"/>
      <c r="AN130" s="344"/>
      <c r="AO130" s="335"/>
      <c r="AP130" s="260"/>
      <c r="AQ130" s="336"/>
      <c r="AR130" s="259"/>
    </row>
    <row r="131" spans="1:44" s="19" customFormat="1" ht="15.5" x14ac:dyDescent="0.35">
      <c r="A131" s="365"/>
      <c r="B131" s="297"/>
      <c r="C131" s="297"/>
      <c r="D131" s="298"/>
      <c r="E131" s="298"/>
      <c r="F131" s="288"/>
      <c r="G131" s="305"/>
      <c r="H131" s="366"/>
      <c r="I131" s="299"/>
      <c r="J131" s="306"/>
      <c r="K131" s="299"/>
      <c r="L131" s="366"/>
      <c r="M131" s="366"/>
      <c r="N131" s="366"/>
      <c r="O131" s="298"/>
      <c r="P131" s="269">
        <f t="shared" si="7"/>
        <v>0</v>
      </c>
      <c r="Q131" s="270">
        <f t="shared" si="2"/>
        <v>0</v>
      </c>
      <c r="R131" s="271">
        <f t="shared" si="8"/>
        <v>0</v>
      </c>
      <c r="S131" s="271">
        <f t="shared" si="9"/>
        <v>0</v>
      </c>
      <c r="T131" s="271">
        <f t="shared" si="10"/>
        <v>0</v>
      </c>
      <c r="U131" s="272">
        <f t="shared" si="11"/>
        <v>0</v>
      </c>
      <c r="V131" s="362"/>
      <c r="W131" s="361"/>
      <c r="X131" s="291"/>
      <c r="Y131" s="362"/>
      <c r="Z131" s="361"/>
      <c r="AA131" s="293"/>
      <c r="AB131" s="517"/>
      <c r="AC131" s="518"/>
      <c r="AD131" s="519"/>
      <c r="AE131" s="520"/>
      <c r="AF131" s="518"/>
      <c r="AG131" s="519"/>
      <c r="AH131" s="520"/>
      <c r="AI131" s="518"/>
      <c r="AJ131" s="518"/>
      <c r="AK131" s="300"/>
      <c r="AL131" s="301"/>
      <c r="AM131" s="343"/>
      <c r="AN131" s="344"/>
      <c r="AO131" s="337"/>
      <c r="AP131" s="334"/>
      <c r="AQ131" s="338"/>
      <c r="AR131" s="259"/>
    </row>
    <row r="132" spans="1:44" s="19" customFormat="1" ht="15.65" customHeight="1" thickBot="1" x14ac:dyDescent="0.4">
      <c r="A132" s="37"/>
      <c r="B132" s="29"/>
      <c r="C132" s="38"/>
      <c r="D132" s="38"/>
      <c r="E132" s="38"/>
      <c r="F132" s="38"/>
      <c r="G132" s="38"/>
      <c r="H132" s="38"/>
      <c r="I132" s="38"/>
      <c r="J132" s="29"/>
      <c r="K132" s="38"/>
      <c r="L132" s="38"/>
      <c r="M132" s="38"/>
      <c r="N132" s="38"/>
      <c r="O132" s="38"/>
      <c r="P132" s="20"/>
      <c r="Q132" s="235"/>
      <c r="R132" s="333"/>
      <c r="S132" s="333"/>
      <c r="T132" s="333"/>
      <c r="U132" s="355"/>
      <c r="V132" s="339"/>
      <c r="W132" s="340"/>
      <c r="X132" s="202"/>
      <c r="Y132" s="339"/>
      <c r="Z132" s="340"/>
      <c r="AA132" s="203"/>
      <c r="AB132" s="201"/>
      <c r="AC132" s="202"/>
      <c r="AD132" s="203"/>
      <c r="AE132" s="204"/>
      <c r="AF132" s="202"/>
      <c r="AG132" s="203"/>
      <c r="AH132" s="204"/>
      <c r="AI132" s="202"/>
      <c r="AJ132" s="202"/>
      <c r="AK132" s="240"/>
      <c r="AL132" s="239"/>
      <c r="AM132" s="240"/>
      <c r="AN132" s="239"/>
      <c r="AO132" s="339"/>
      <c r="AP132" s="340"/>
      <c r="AQ132" s="203"/>
      <c r="AR132" s="239"/>
    </row>
    <row r="133" spans="1:44" ht="14.5" x14ac:dyDescent="0.35">
      <c r="J133"/>
    </row>
    <row r="134" spans="1:44" ht="14.5" x14ac:dyDescent="0.35">
      <c r="F134" s="15"/>
      <c r="J134"/>
    </row>
    <row r="135" spans="1:44" ht="14.5" x14ac:dyDescent="0.35">
      <c r="F135" s="14"/>
      <c r="J135"/>
      <c r="O135" s="14"/>
      <c r="P135" s="14"/>
    </row>
    <row r="136" spans="1:44" ht="14.5" x14ac:dyDescent="0.35">
      <c r="F136" s="14"/>
      <c r="J136"/>
      <c r="O136" s="14"/>
      <c r="P136" s="14"/>
    </row>
    <row r="137" spans="1:44" ht="14.5" x14ac:dyDescent="0.35">
      <c r="F137" s="14"/>
      <c r="J137"/>
      <c r="O137" s="14"/>
      <c r="P137" s="14"/>
    </row>
    <row r="138" spans="1:44" ht="14.5" x14ac:dyDescent="0.35">
      <c r="F138" s="14"/>
      <c r="J138"/>
      <c r="O138" s="14"/>
      <c r="P138" s="14"/>
    </row>
    <row r="139" spans="1:44" ht="14.5" x14ac:dyDescent="0.35">
      <c r="F139" s="14"/>
      <c r="J139"/>
      <c r="O139" s="14"/>
      <c r="P139" s="14"/>
    </row>
    <row r="140" spans="1:44" ht="14.5" x14ac:dyDescent="0.35">
      <c r="F140" s="14"/>
      <c r="J140"/>
      <c r="O140" s="14"/>
      <c r="P140" s="14"/>
    </row>
    <row r="141" spans="1:44" ht="14.5" x14ac:dyDescent="0.35">
      <c r="F141" s="14"/>
      <c r="J141"/>
      <c r="O141" s="14"/>
    </row>
    <row r="142" spans="1:44" ht="14.5" x14ac:dyDescent="0.35">
      <c r="F142" s="14"/>
      <c r="J142"/>
    </row>
    <row r="143" spans="1:44" ht="14.5" x14ac:dyDescent="0.35">
      <c r="F143" s="14"/>
      <c r="J143"/>
    </row>
    <row r="144" spans="1:44" ht="14.5" x14ac:dyDescent="0.35">
      <c r="F144" s="14"/>
      <c r="J144"/>
    </row>
    <row r="145" spans="6:10" ht="14.5" x14ac:dyDescent="0.35">
      <c r="F145" s="14"/>
      <c r="J145"/>
    </row>
    <row r="146" spans="6:10" ht="14.5" x14ac:dyDescent="0.35">
      <c r="F146" s="14"/>
      <c r="J146"/>
    </row>
    <row r="147" spans="6:10" ht="14.5" x14ac:dyDescent="0.35">
      <c r="F147" s="14"/>
      <c r="J147"/>
    </row>
    <row r="148" spans="6:10" ht="14.5" x14ac:dyDescent="0.35">
      <c r="F148" s="14"/>
      <c r="J148"/>
    </row>
    <row r="149" spans="6:10" ht="14.5" x14ac:dyDescent="0.35">
      <c r="F149" s="14"/>
      <c r="J149"/>
    </row>
    <row r="150" spans="6:10" ht="14.5" x14ac:dyDescent="0.35">
      <c r="F150" s="14"/>
      <c r="J150"/>
    </row>
    <row r="151" spans="6:10" ht="14.5" x14ac:dyDescent="0.35">
      <c r="F151" s="14"/>
      <c r="J151"/>
    </row>
    <row r="152" spans="6:10" ht="14.5" x14ac:dyDescent="0.35">
      <c r="F152" s="14"/>
      <c r="J152"/>
    </row>
    <row r="153" spans="6:10" ht="14.5" x14ac:dyDescent="0.35">
      <c r="F153" s="14"/>
      <c r="J153"/>
    </row>
    <row r="154" spans="6:10" ht="14.5" x14ac:dyDescent="0.35">
      <c r="I154" s="3"/>
      <c r="J154"/>
    </row>
    <row r="155" spans="6:10" ht="14.5" x14ac:dyDescent="0.35">
      <c r="H155" s="3"/>
      <c r="J155"/>
    </row>
  </sheetData>
  <sheetProtection algorithmName="SHA-512" hashValue="7Ht2h7OlkYeh9Jwbklsbw7TuS9OqjNGowQ++6F3Q1JNu/7gW+5lfbSybJ0HzVRDUT+JHDbgK1ClTmaMdacw6jA==" saltValue="YuILobgzXB4qA99YxuYbeg==" spinCount="100000" sheet="1" objects="1" scenarios="1"/>
  <mergeCells count="22">
    <mergeCell ref="AO32:AQ32"/>
    <mergeCell ref="AO33:AQ33"/>
    <mergeCell ref="K22:Q22"/>
    <mergeCell ref="B23:I23"/>
    <mergeCell ref="K23:Q23"/>
    <mergeCell ref="K25:Q25"/>
    <mergeCell ref="B26:I26"/>
    <mergeCell ref="K26:Q26"/>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128:AL131" xr:uid="{CA4B89F0-D22F-4B8D-9164-4A6A1F094AC1}">
      <formula1>$AL$37:$AL$39</formula1>
    </dataValidation>
    <dataValidation type="list" allowBlank="1" showInputMessage="1" showErrorMessage="1" sqref="AL132" xr:uid="{27A462FF-1E33-497F-93FF-47302DEF6B27}">
      <formula1>$AL$135:$AL$139</formula1>
    </dataValidation>
    <dataValidation type="list" allowBlank="1" showInputMessage="1" showErrorMessage="1" sqref="G35:G132" xr:uid="{9D04FCB4-CBA8-47F4-9F40-087056B86FCA}">
      <formula1>$G$135:$G$138</formula1>
    </dataValidation>
    <dataValidation type="list" allowBlank="1" showInputMessage="1" showErrorMessage="1" sqref="F35:F132" xr:uid="{5688C0C7-B0C9-407E-8442-265EC5E5FE4E}">
      <formula1>$F$135:$F$153</formula1>
    </dataValidation>
    <dataValidation type="list" allowBlank="1" showInputMessage="1" showErrorMessage="1" sqref="E35:E132" xr:uid="{2025EB9E-EEB3-4670-8C14-06C466A53E87}">
      <formula1>$E$135:$E$137</formula1>
    </dataValidation>
    <dataValidation type="list" allowBlank="1" showInputMessage="1" showErrorMessage="1" sqref="O35:O132" xr:uid="{85CB3776-0F40-4C30-8DD6-0012CABB02A5}">
      <formula1>$O$135:$O$141</formula1>
    </dataValidation>
    <dataValidation type="list" allowBlank="1" showInputMessage="1" showErrorMessage="1" sqref="AL73:AL119 AL35:AL71 AL125" xr:uid="{BA5FCC99-68C8-4A5E-9440-203A165E13C8}">
      <formula1>$AL$138:$AL$142</formula1>
    </dataValidation>
    <dataValidation type="list" allowBlank="1" showInputMessage="1" showErrorMessage="1" sqref="F155:F189 F31:F32" xr:uid="{03D7859E-A6E5-4C17-B004-E760432DB308}">
      <formula1>$F$3:$I$3</formula1>
    </dataValidation>
    <dataValidation type="list" allowBlank="1" showInputMessage="1" showErrorMessage="1" sqref="O156:O188 O31:O32 N154 M155"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571"/>
  <sheetViews>
    <sheetView zoomScale="70" zoomScaleNormal="70" workbookViewId="0">
      <selection activeCell="J6" sqref="J6"/>
    </sheetView>
  </sheetViews>
  <sheetFormatPr defaultColWidth="8.6328125" defaultRowHeight="14.5" x14ac:dyDescent="0.35"/>
  <cols>
    <col min="1" max="1" width="2.6328125" style="1" customWidth="1"/>
    <col min="2" max="2" width="18.90625" style="1" customWidth="1"/>
    <col min="3" max="3" width="13.453125" style="1" customWidth="1"/>
    <col min="4" max="4" width="27.08984375" style="1" customWidth="1"/>
    <col min="5" max="5" width="32.90625" style="1" customWidth="1"/>
    <col min="6" max="6" width="11.08984375" style="1" customWidth="1"/>
    <col min="7" max="7" width="2" style="1" customWidth="1"/>
    <col min="8" max="8" width="2.453125" style="1" customWidth="1"/>
    <col min="9" max="9" width="11.453125" style="1" customWidth="1"/>
    <col min="10" max="10" width="20" style="1" customWidth="1"/>
    <col min="11" max="11" width="12.453125" style="1" customWidth="1"/>
    <col min="12" max="14" width="12.90625" style="1" customWidth="1"/>
    <col min="15" max="15" width="13.36328125" style="1" customWidth="1"/>
    <col min="16" max="16" width="4.453125" style="1" customWidth="1"/>
    <col min="17" max="17" width="8.6328125" style="1"/>
    <col min="18" max="19" width="10.90625" style="1" customWidth="1"/>
    <col min="20" max="20" width="10.453125" style="1" customWidth="1"/>
    <col min="21" max="16384" width="8.6328125" style="1"/>
  </cols>
  <sheetData>
    <row r="2" spans="2:27" ht="30.9" customHeight="1" x14ac:dyDescent="0.35">
      <c r="B2" s="653" t="s">
        <v>526</v>
      </c>
      <c r="C2" s="653"/>
      <c r="D2" s="653"/>
      <c r="E2" s="653"/>
      <c r="F2" s="653"/>
      <c r="G2" s="653"/>
      <c r="H2" s="653"/>
      <c r="I2" s="653"/>
      <c r="J2" s="653"/>
      <c r="K2" s="653"/>
      <c r="L2" s="653"/>
      <c r="M2" s="653"/>
      <c r="N2" s="653"/>
      <c r="O2" s="653"/>
      <c r="P2" s="653"/>
    </row>
    <row r="4" spans="2:27" x14ac:dyDescent="0.35">
      <c r="B4" s="395" t="s">
        <v>527</v>
      </c>
      <c r="C4" s="188"/>
      <c r="D4" s="188"/>
      <c r="E4" s="188"/>
      <c r="F4" s="188"/>
      <c r="G4" s="188"/>
      <c r="H4" s="188"/>
      <c r="I4" s="188"/>
      <c r="J4" s="188"/>
      <c r="K4" s="188"/>
      <c r="L4" s="188"/>
      <c r="M4" s="188"/>
      <c r="N4" s="188"/>
      <c r="O4" s="188"/>
      <c r="P4" s="188"/>
    </row>
    <row r="5" spans="2:27" x14ac:dyDescent="0.35">
      <c r="B5" s="188"/>
      <c r="C5" s="188"/>
      <c r="D5" s="188"/>
      <c r="E5" s="188"/>
      <c r="F5" s="188"/>
      <c r="G5" s="188"/>
      <c r="H5" s="188"/>
      <c r="I5" s="188"/>
      <c r="J5" s="188"/>
      <c r="K5" s="188"/>
      <c r="L5" s="188"/>
      <c r="M5" s="188"/>
      <c r="N5" s="188"/>
      <c r="O5" s="188"/>
      <c r="P5" s="188"/>
    </row>
    <row r="6" spans="2:27" x14ac:dyDescent="0.35">
      <c r="B6" s="396" t="s">
        <v>528</v>
      </c>
      <c r="C6" s="188"/>
      <c r="D6" s="188"/>
      <c r="E6" s="188"/>
      <c r="F6" s="188"/>
      <c r="G6" s="188"/>
      <c r="H6" s="188"/>
      <c r="I6" s="188"/>
      <c r="J6" s="188"/>
      <c r="K6" s="188"/>
      <c r="L6" s="188"/>
      <c r="M6" s="188"/>
      <c r="N6" s="188"/>
      <c r="O6" s="188"/>
      <c r="P6" s="188"/>
    </row>
    <row r="7" spans="2:27" ht="89.15" customHeight="1" x14ac:dyDescent="0.35">
      <c r="B7" s="658" t="s">
        <v>529</v>
      </c>
      <c r="C7" s="659"/>
      <c r="D7" s="659"/>
      <c r="E7" s="659"/>
      <c r="F7" s="659"/>
      <c r="G7" s="659"/>
      <c r="H7" s="659"/>
      <c r="I7" s="659"/>
      <c r="J7" s="659"/>
      <c r="K7" s="659"/>
      <c r="L7" s="659"/>
      <c r="M7" s="659"/>
      <c r="N7" s="659"/>
      <c r="O7" s="659"/>
      <c r="P7" s="660"/>
      <c r="Q7" s="39"/>
      <c r="R7" s="39"/>
      <c r="S7" s="39"/>
      <c r="T7" s="39"/>
      <c r="U7" s="39"/>
    </row>
    <row r="9" spans="2:27" x14ac:dyDescent="0.35">
      <c r="B9" s="34" t="s">
        <v>530</v>
      </c>
    </row>
    <row r="10" spans="2:27" ht="57.9" customHeight="1" x14ac:dyDescent="0.35">
      <c r="B10" s="658"/>
      <c r="C10" s="661"/>
      <c r="D10" s="661"/>
      <c r="E10" s="661"/>
      <c r="F10" s="661"/>
      <c r="G10" s="661"/>
      <c r="H10" s="661"/>
      <c r="I10" s="661"/>
      <c r="J10" s="661"/>
      <c r="K10" s="661"/>
      <c r="L10" s="661"/>
      <c r="M10" s="661"/>
      <c r="N10" s="661"/>
      <c r="O10" s="661"/>
      <c r="P10" s="662"/>
      <c r="Q10" s="39"/>
      <c r="R10" s="39"/>
      <c r="S10" s="39"/>
      <c r="T10" s="39"/>
      <c r="U10" s="39"/>
    </row>
    <row r="12" spans="2:27" ht="15" thickBot="1" x14ac:dyDescent="0.4">
      <c r="B12" s="396" t="s">
        <v>531</v>
      </c>
      <c r="C12" s="188"/>
      <c r="D12" s="188"/>
      <c r="E12" s="188"/>
      <c r="F12" s="188"/>
      <c r="G12" s="80"/>
      <c r="H12" s="80"/>
      <c r="I12" s="80"/>
      <c r="J12" s="80"/>
      <c r="K12" s="218"/>
      <c r="L12" s="80"/>
      <c r="M12" s="80"/>
      <c r="N12" s="80"/>
      <c r="O12" s="80"/>
    </row>
    <row r="13" spans="2:27" ht="15" thickBot="1" x14ac:dyDescent="0.4">
      <c r="B13" s="464"/>
      <c r="C13" s="465" t="s">
        <v>532</v>
      </c>
      <c r="D13" s="466" t="s">
        <v>533</v>
      </c>
      <c r="E13" s="467" t="s">
        <v>534</v>
      </c>
      <c r="F13" s="468">
        <v>2025</v>
      </c>
      <c r="G13" s="80"/>
      <c r="H13" s="80"/>
      <c r="I13" s="80"/>
      <c r="J13" s="80"/>
      <c r="K13" s="388"/>
      <c r="L13" s="389"/>
      <c r="M13" s="389"/>
      <c r="N13" s="389"/>
      <c r="O13" s="218"/>
    </row>
    <row r="14" spans="2:27" ht="15" thickBot="1" x14ac:dyDescent="0.4">
      <c r="B14" s="469" t="s">
        <v>532</v>
      </c>
      <c r="C14" s="470">
        <f>SUM(D14:F14)</f>
        <v>28864288.299999997</v>
      </c>
      <c r="D14" s="471">
        <f>SUM(D15:D17)</f>
        <v>2536113</v>
      </c>
      <c r="E14" s="472">
        <f t="shared" ref="E14:F14" si="0">SUM(E15:E17)</f>
        <v>15976410.539999999</v>
      </c>
      <c r="F14" s="473">
        <f t="shared" si="0"/>
        <v>10351764.76</v>
      </c>
      <c r="G14" s="80"/>
      <c r="H14" s="80"/>
      <c r="I14" s="80"/>
      <c r="J14" s="80"/>
      <c r="K14" s="390"/>
      <c r="L14" s="391"/>
      <c r="M14" s="392"/>
      <c r="N14" s="392"/>
      <c r="O14" s="392"/>
    </row>
    <row r="15" spans="2:27" ht="33.65" customHeight="1" x14ac:dyDescent="0.35">
      <c r="B15" s="474" t="s">
        <v>535</v>
      </c>
      <c r="C15" s="475">
        <f t="shared" ref="C15:C17" si="1">SUM(D15:F15)</f>
        <v>18776041.949999999</v>
      </c>
      <c r="D15" s="476" cm="1">
        <f t="array" ref="D15">SUM('kuni 2025 detsember tegevuskava'!W92:Y92+'kuni 2025 detsember tegevuskava'!W95:Y95+'kuni 2025 detsember tegevuskava'!W98:Y98+'kuni 2025 detsember tegevuskava'!W101:Y101)</f>
        <v>2517467</v>
      </c>
      <c r="E15" s="477" cm="1">
        <f t="array" ref="E15">SUM('kuni 2025 detsember tegevuskava'!Z92:AB92+'kuni 2025 detsember tegevuskava'!Z95:AB95+'kuni 2025 detsember tegevuskava'!Z98:AB98+'kuni 2025 detsember tegevuskava'!Z101:AB101)</f>
        <v>12243197.539999999</v>
      </c>
      <c r="F15" s="478" cm="1">
        <f t="array" ref="F15">SUM('kuni 2025 detsember tegevuskava'!AC92:AE92+'kuni 2025 detsember tegevuskava'!AC95:AE95+'kuni 2025 detsember tegevuskava'!AC98:AE98+'kuni 2025 detsember tegevuskava'!AC101:AE101)</f>
        <v>4015377.41</v>
      </c>
      <c r="G15" s="80"/>
      <c r="H15" s="80"/>
      <c r="I15" s="394"/>
      <c r="J15" s="80"/>
      <c r="K15" s="390"/>
      <c r="L15" s="391"/>
      <c r="M15" s="393"/>
      <c r="N15" s="393"/>
      <c r="O15" s="394"/>
      <c r="Q15" s="653"/>
      <c r="R15" s="653"/>
      <c r="S15" s="653"/>
      <c r="T15" s="653"/>
      <c r="U15" s="653"/>
      <c r="V15" s="653"/>
      <c r="W15" s="653"/>
      <c r="X15" s="653"/>
      <c r="Y15" s="653"/>
      <c r="Z15" s="653"/>
      <c r="AA15" s="653"/>
    </row>
    <row r="16" spans="2:27" ht="36" customHeight="1" x14ac:dyDescent="0.35">
      <c r="B16" s="479" t="s">
        <v>536</v>
      </c>
      <c r="C16" s="480">
        <f t="shared" si="1"/>
        <v>9165546.3499999996</v>
      </c>
      <c r="D16" s="481" cm="1">
        <f t="array" ref="D16">SUM('kuni 2025 detsember tegevuskava'!W77:Y77+'kuni 2025 detsember tegevuskava'!W80:Y80+'kuni 2025 detsember tegevuskava'!W83:Y83+'kuni 2025 detsember tegevuskava'!W86:Y86)</f>
        <v>18646</v>
      </c>
      <c r="E16" s="482" cm="1">
        <f t="array" ref="E16">SUM('kuni 2025 detsember tegevuskava'!Z77:AB77+'kuni 2025 detsember tegevuskava'!Z80:AB80+'kuni 2025 detsember tegevuskava'!Z83:AB83+'kuni 2025 detsember tegevuskava'!Z86:AB86)</f>
        <v>3733213</v>
      </c>
      <c r="F16" s="483" cm="1">
        <f t="array" ref="F16">SUM('kuni 2025 detsember tegevuskava'!AC77:AE77+'kuni 2025 detsember tegevuskava'!AC80:AE80+'kuni 2025 detsember tegevuskava'!AC83:AE83+'kuni 2025 detsember tegevuskava'!AC86:AE86)</f>
        <v>5413687.3499999996</v>
      </c>
      <c r="G16" s="80"/>
      <c r="H16" s="80"/>
      <c r="I16" s="394"/>
      <c r="J16" s="80"/>
      <c r="K16" s="390"/>
      <c r="L16" s="391"/>
      <c r="M16" s="393"/>
      <c r="N16" s="393"/>
      <c r="O16" s="394"/>
      <c r="Q16" s="653"/>
      <c r="R16" s="653"/>
      <c r="S16" s="653"/>
      <c r="T16" s="653"/>
      <c r="U16" s="653"/>
      <c r="V16" s="653"/>
      <c r="W16" s="653"/>
      <c r="X16" s="653"/>
      <c r="Y16" s="653"/>
      <c r="Z16" s="653"/>
      <c r="AA16" s="653"/>
    </row>
    <row r="17" spans="2:27" ht="35.15" customHeight="1" thickBot="1" x14ac:dyDescent="0.4">
      <c r="B17" s="484" t="s">
        <v>537</v>
      </c>
      <c r="C17" s="485">
        <f t="shared" si="1"/>
        <v>922700</v>
      </c>
      <c r="D17" s="486" cm="1">
        <f t="array" ref="D17">SUM('kuni 2025 detsember tegevuskava'!W107:Y107+'kuni 2025 detsember tegevuskava'!W110:Y110+'kuni 2025 detsember tegevuskava'!W113:Y113+'kuni 2025 detsember tegevuskava'!W116:Y116)</f>
        <v>0</v>
      </c>
      <c r="E17" s="487" cm="1">
        <f t="array" ref="E17">SUM('kuni 2025 detsember tegevuskava'!Z107:AB107+'kuni 2025 detsember tegevuskava'!Z110:AB110+'kuni 2025 detsember tegevuskava'!Z113:AB113+'kuni 2025 detsember tegevuskava'!Z116:AB116)</f>
        <v>0</v>
      </c>
      <c r="F17" s="488" cm="1">
        <f t="array" ref="F17">SUM('kuni 2025 detsember tegevuskava'!AC107:AE107+'kuni 2025 detsember tegevuskava'!AC110:AE110+'kuni 2025 detsember tegevuskava'!AC113:AE113+'kuni 2025 detsember tegevuskava'!AC116:AE116)</f>
        <v>922700</v>
      </c>
      <c r="G17" s="80"/>
      <c r="H17" s="80"/>
      <c r="I17" s="394"/>
      <c r="J17" s="80"/>
      <c r="K17" s="390"/>
      <c r="L17" s="391"/>
      <c r="M17" s="393"/>
      <c r="N17" s="393"/>
      <c r="O17" s="394"/>
      <c r="Q17" s="653"/>
      <c r="R17" s="653"/>
      <c r="S17" s="653"/>
      <c r="T17" s="653"/>
      <c r="U17" s="653"/>
      <c r="V17" s="653"/>
      <c r="W17" s="653"/>
      <c r="X17" s="653"/>
      <c r="Y17" s="653"/>
      <c r="Z17" s="653"/>
      <c r="AA17" s="653"/>
    </row>
    <row r="18" spans="2:27" x14ac:dyDescent="0.35">
      <c r="B18" s="188"/>
      <c r="C18" s="188"/>
      <c r="D18" s="188"/>
      <c r="E18" s="188"/>
      <c r="F18" s="188"/>
      <c r="G18" s="80"/>
      <c r="H18" s="80"/>
      <c r="I18" s="80"/>
      <c r="J18" s="80"/>
      <c r="K18" s="80"/>
      <c r="L18" s="80"/>
      <c r="M18" s="80"/>
      <c r="N18" s="80"/>
      <c r="O18" s="80"/>
    </row>
    <row r="19" spans="2:27" ht="15" thickBot="1" x14ac:dyDescent="0.4">
      <c r="B19" s="396" t="s">
        <v>538</v>
      </c>
      <c r="C19" s="188"/>
      <c r="D19" s="188"/>
      <c r="E19" s="188"/>
      <c r="F19" s="188"/>
      <c r="G19" s="80"/>
      <c r="H19" s="80"/>
      <c r="I19" s="80"/>
      <c r="J19" s="396" t="s">
        <v>539</v>
      </c>
      <c r="K19" s="188"/>
      <c r="L19" s="188"/>
      <c r="M19" s="188"/>
      <c r="N19" s="188"/>
      <c r="O19" s="80"/>
    </row>
    <row r="20" spans="2:27" ht="15" thickBot="1" x14ac:dyDescent="0.4">
      <c r="B20" s="464"/>
      <c r="C20" s="465" t="s">
        <v>532</v>
      </c>
      <c r="D20" s="466" t="s">
        <v>533</v>
      </c>
      <c r="E20" s="467" t="s">
        <v>534</v>
      </c>
      <c r="F20" s="468">
        <v>2025</v>
      </c>
      <c r="G20" s="80"/>
      <c r="H20" s="80"/>
      <c r="I20" s="80"/>
      <c r="J20" s="464"/>
      <c r="K20" s="465" t="s">
        <v>532</v>
      </c>
      <c r="L20" s="466" t="s">
        <v>533</v>
      </c>
      <c r="M20" s="467" t="s">
        <v>534</v>
      </c>
      <c r="N20" s="468">
        <v>2025</v>
      </c>
      <c r="O20" s="80"/>
    </row>
    <row r="21" spans="2:27" ht="15" thickBot="1" x14ac:dyDescent="0.4">
      <c r="B21" s="469" t="s">
        <v>532</v>
      </c>
      <c r="C21" s="470">
        <f>SUM(D21:F21)</f>
        <v>6427550.7999999998</v>
      </c>
      <c r="D21" s="471">
        <f>SUM(D22:D24)</f>
        <v>2025190</v>
      </c>
      <c r="E21" s="472">
        <f t="shared" ref="E21:F21" si="2">SUM(E22:E24)</f>
        <v>383882</v>
      </c>
      <c r="F21" s="473">
        <f t="shared" si="2"/>
        <v>4018478.8</v>
      </c>
      <c r="G21" s="80"/>
      <c r="H21" s="80"/>
      <c r="I21" s="80"/>
      <c r="J21" s="469" t="s">
        <v>532</v>
      </c>
      <c r="K21" s="470">
        <f>SUM(L21:N21)</f>
        <v>15979858</v>
      </c>
      <c r="L21" s="471">
        <f>SUM(L22:L24)</f>
        <v>510923</v>
      </c>
      <c r="M21" s="472">
        <f t="shared" ref="M21:N21" si="3">SUM(M22:M24)</f>
        <v>9135649.0399999991</v>
      </c>
      <c r="N21" s="473">
        <f t="shared" si="3"/>
        <v>6333285.96</v>
      </c>
      <c r="O21" s="80"/>
    </row>
    <row r="22" spans="2:27" ht="29" x14ac:dyDescent="0.35">
      <c r="B22" s="474" t="s">
        <v>535</v>
      </c>
      <c r="C22" s="475">
        <f t="shared" ref="C22:C24" si="4">SUM(D22:F22)</f>
        <v>4901349.5</v>
      </c>
      <c r="D22" s="476" cm="1">
        <f t="array" ref="D22">SUM('kuni 2025 detsember tegevuskava'!W136:Y136+'kuni 2025 detsember tegevuskava'!W139:Y139+'kuni 2025 detsember tegevuskava'!W142:Y142+'kuni 2025 detsember tegevuskava'!W145:Y145)</f>
        <v>2015867</v>
      </c>
      <c r="E22" s="477" cm="1">
        <f t="array" ref="E22">SUM('kuni 2025 detsember tegevuskava'!Z136:AB136+'kuni 2025 detsember tegevuskava'!Z139:AB139+'kuni 2025 detsember tegevuskava'!Z139:AB139+'kuni 2025 detsember tegevuskava'!Z139:AB139)</f>
        <v>0</v>
      </c>
      <c r="F22" s="478" cm="1">
        <f t="array" ref="F22">SUM('kuni 2025 detsember tegevuskava'!AC136:AE136+'kuni 2025 detsember tegevuskava'!AC139:AE139+'kuni 2025 detsember tegevuskava'!AC142:AE142+'kuni 2025 detsember tegevuskava'!AC145:AE145)</f>
        <v>2885482.5</v>
      </c>
      <c r="G22" s="80"/>
      <c r="H22" s="80"/>
      <c r="I22" s="394"/>
      <c r="J22" s="474" t="s">
        <v>535</v>
      </c>
      <c r="K22" s="475">
        <f t="shared" ref="K22:K24" si="5">SUM(L22:N22)</f>
        <v>7417812.9500000002</v>
      </c>
      <c r="L22" s="476" cm="1">
        <f t="array" ref="L22">SUM('kuni 2025 detsember tegevuskava'!W180:Y180+'kuni 2025 detsember tegevuskava'!W183:Y183+'kuni 2025 detsember tegevuskava'!W186:Y186+'kuni 2025 detsember tegevuskava'!W189:Y189)</f>
        <v>501600</v>
      </c>
      <c r="M22" s="477" cm="1">
        <f t="array" ref="M22">SUM('kuni 2025 detsember tegevuskava'!Z180:AB180+'kuni 2025 detsember tegevuskava'!Z183:AB183+'kuni 2025 detsember tegevuskava'!Z186:AB186+'kuni 2025 detsember tegevuskava'!Z189:AB189)</f>
        <v>5786318.04</v>
      </c>
      <c r="N22" s="478" cm="1">
        <f t="array" ref="N22">SUM('kuni 2025 detsember tegevuskava'!AC180:AE180+'kuni 2025 detsember tegevuskava'!AC183:AE183+'kuni 2025 detsember tegevuskava'!AC186:AE186+'kuni 2025 detsember tegevuskava'!AC189:AE189)</f>
        <v>1129894.9099999999</v>
      </c>
      <c r="O22" s="80"/>
    </row>
    <row r="23" spans="2:27" x14ac:dyDescent="0.35">
      <c r="B23" s="479" t="s">
        <v>536</v>
      </c>
      <c r="C23" s="480">
        <f t="shared" si="4"/>
        <v>1526201.3</v>
      </c>
      <c r="D23" s="481" cm="1">
        <f t="array" ref="D23">SUM('kuni 2025 detsember tegevuskava'!W121:Y121+'kuni 2025 detsember tegevuskava'!W124:Y124+'kuni 2025 detsember tegevuskava'!W127:Y127+'kuni 2025 detsember tegevuskava'!W130:Y130)</f>
        <v>9323</v>
      </c>
      <c r="E23" s="482" cm="1">
        <f t="array" ref="E23">SUM('kuni 2025 detsember tegevuskava'!Z121:AB121+'kuni 2025 detsember tegevuskava'!Z124:AB124+'kuni 2025 detsember tegevuskava'!Z127:AB127+'kuni 2025 detsember tegevuskava'!Z130:AB130)</f>
        <v>383882</v>
      </c>
      <c r="F23" s="483" cm="1">
        <f t="array" ref="F23">SUM('kuni 2025 detsember tegevuskava'!AC121:AE121+'kuni 2025 detsember tegevuskava'!AC124:AE124+'kuni 2025 detsember tegevuskava'!AC127:AE127+'kuni 2025 detsember tegevuskava'!AC130:AE130)</f>
        <v>1132996.3</v>
      </c>
      <c r="G23" s="80"/>
      <c r="H23" s="80"/>
      <c r="I23" s="394"/>
      <c r="J23" s="479" t="s">
        <v>536</v>
      </c>
      <c r="K23" s="480">
        <f t="shared" si="5"/>
        <v>7639345.0499999998</v>
      </c>
      <c r="L23" s="481" cm="1">
        <f t="array" ref="L23">SUM('kuni 2025 detsember tegevuskava'!W165:Y165+'kuni 2025 detsember tegevuskava'!W168:Y168+'kuni 2025 detsember tegevuskava'!W171:Y171+'kuni 2025 detsember tegevuskava'!W174:Y174)</f>
        <v>9323</v>
      </c>
      <c r="M23" s="482" cm="1">
        <f t="array" ref="M23">SUM('kuni 2025 detsember tegevuskava'!Z165:AB165+'kuni 2025 detsember tegevuskava'!Z168:AB168+'kuni 2025 detsember tegevuskava'!Z171:AB171+'kuni 2025 detsember tegevuskava'!Z174:AB174)</f>
        <v>3349331</v>
      </c>
      <c r="N23" s="483" cm="1">
        <f t="array" ref="N23">SUM('kuni 2025 detsember tegevuskava'!AC165:AE165+'kuni 2025 detsember tegevuskava'!AC168:AE168+'kuni 2025 detsember tegevuskava'!AC171:AE171+'kuni 2025 detsember tegevuskava'!AC174:AE174)</f>
        <v>4280691.05</v>
      </c>
      <c r="O23" s="80"/>
    </row>
    <row r="24" spans="2:27" ht="15" thickBot="1" x14ac:dyDescent="0.4">
      <c r="B24" s="484" t="s">
        <v>537</v>
      </c>
      <c r="C24" s="485">
        <f t="shared" si="4"/>
        <v>0</v>
      </c>
      <c r="D24" s="486" cm="1">
        <f t="array" ref="D24">SUM('kuni 2025 detsember tegevuskava'!W151:Y151+'kuni 2025 detsember tegevuskava'!W154:Y154+'kuni 2025 detsember tegevuskava'!W157:Y157+'kuni 2025 detsember tegevuskava'!W160:Y160)</f>
        <v>0</v>
      </c>
      <c r="E24" s="487" cm="1">
        <f t="array" ref="E24">SUM('kuni 2025 detsember tegevuskava'!Z151:AB151+'kuni 2025 detsember tegevuskava'!Z154:AB154+'kuni 2025 detsember tegevuskava'!Z157:AB157+'kuni 2025 detsember tegevuskava'!Z160:AB160)</f>
        <v>0</v>
      </c>
      <c r="F24" s="488" cm="1">
        <f t="array" ref="F24">SUM('kuni 2025 detsember tegevuskava'!AC151:AE151+'kuni 2025 detsember tegevuskava'!AC154:AE154+'kuni 2025 detsember tegevuskava'!AC157:AE157+'kuni 2025 detsember tegevuskava'!AC160:AE160)</f>
        <v>0</v>
      </c>
      <c r="G24" s="80"/>
      <c r="H24" s="80"/>
      <c r="I24" s="394"/>
      <c r="J24" s="484" t="s">
        <v>537</v>
      </c>
      <c r="K24" s="485">
        <f t="shared" si="5"/>
        <v>922700</v>
      </c>
      <c r="L24" s="486" cm="1">
        <f t="array" ref="L24">SUM('kuni 2025 detsember tegevuskava'!W195:Y195+'kuni 2025 detsember tegevuskava'!W198:Y198+'kuni 2025 detsember tegevuskava'!W201:Y201+'kuni 2025 detsember tegevuskava'!W204:Y204)</f>
        <v>0</v>
      </c>
      <c r="M24" s="487" cm="1">
        <f t="array" ref="M24">SUM('kuni 2025 detsember tegevuskava'!Z195:AB195+'kuni 2025 detsember tegevuskava'!Z198:AB198+'kuni 2025 detsember tegevuskava'!Z201:AB201+'kuni 2025 detsember tegevuskava'!Z204:AB204)</f>
        <v>0</v>
      </c>
      <c r="N24" s="488" cm="1">
        <f t="array" ref="N24">SUM('kuni 2025 detsember tegevuskava'!AC195:AE195+'kuni 2025 detsember tegevuskava'!AC198:AE198+'kuni 2025 detsember tegevuskava'!AC201:AE201+'kuni 2025 detsember tegevuskava'!AC204:AE204)</f>
        <v>922700</v>
      </c>
      <c r="O24" s="80"/>
    </row>
    <row r="25" spans="2:27" x14ac:dyDescent="0.35">
      <c r="B25" s="188"/>
      <c r="C25" s="188"/>
      <c r="D25" s="188"/>
      <c r="E25" s="188"/>
      <c r="F25" s="188"/>
      <c r="G25" s="80"/>
      <c r="H25" s="80"/>
      <c r="I25" s="80"/>
      <c r="J25" s="80"/>
      <c r="K25" s="80"/>
      <c r="L25" s="80"/>
      <c r="M25" s="80"/>
      <c r="N25" s="80"/>
      <c r="O25" s="80"/>
    </row>
    <row r="26" spans="2:27" ht="15" thickBot="1" x14ac:dyDescent="0.4">
      <c r="B26" s="396" t="s">
        <v>540</v>
      </c>
      <c r="C26" s="188"/>
      <c r="D26" s="188"/>
      <c r="E26" s="188"/>
      <c r="F26" s="188"/>
      <c r="G26" s="80"/>
      <c r="H26" s="80"/>
      <c r="I26" s="80"/>
      <c r="J26" s="396" t="s">
        <v>541</v>
      </c>
      <c r="K26" s="188"/>
      <c r="L26" s="188"/>
      <c r="M26" s="188"/>
      <c r="N26" s="188"/>
      <c r="O26" s="80"/>
    </row>
    <row r="27" spans="2:27" ht="15" thickBot="1" x14ac:dyDescent="0.4">
      <c r="B27" s="464"/>
      <c r="C27" s="489" t="s">
        <v>532</v>
      </c>
      <c r="D27" s="490" t="s">
        <v>533</v>
      </c>
      <c r="E27" s="467" t="s">
        <v>534</v>
      </c>
      <c r="F27" s="465" t="s">
        <v>542</v>
      </c>
      <c r="G27" s="80"/>
      <c r="H27" s="80"/>
      <c r="I27" s="80"/>
      <c r="J27" s="464"/>
      <c r="K27" s="489" t="s">
        <v>532</v>
      </c>
      <c r="L27" s="490" t="s">
        <v>533</v>
      </c>
      <c r="M27" s="467" t="s">
        <v>534</v>
      </c>
      <c r="N27" s="465" t="s">
        <v>542</v>
      </c>
      <c r="O27" s="80"/>
    </row>
    <row r="28" spans="2:27" ht="15" thickBot="1" x14ac:dyDescent="0.4">
      <c r="B28" s="491" t="s">
        <v>536</v>
      </c>
      <c r="C28" s="492">
        <f>SUM(D28:F28)</f>
        <v>1783282.3</v>
      </c>
      <c r="D28" s="493">
        <f>SUM(D29:D32)</f>
        <v>9323</v>
      </c>
      <c r="E28" s="494">
        <f t="shared" ref="E28:F28" si="6">SUM(E29:E32)</f>
        <v>440202</v>
      </c>
      <c r="F28" s="495">
        <f t="shared" si="6"/>
        <v>1333757.3</v>
      </c>
      <c r="G28" s="80"/>
      <c r="H28" s="80"/>
      <c r="I28" s="80"/>
      <c r="J28" s="491" t="s">
        <v>536</v>
      </c>
      <c r="K28" s="492">
        <f>SUM(L28:N28)</f>
        <v>8943566.8699999992</v>
      </c>
      <c r="L28" s="493">
        <f>SUM(L29:L32)</f>
        <v>9323</v>
      </c>
      <c r="M28" s="494">
        <f t="shared" ref="M28:N28" si="7">SUM(M29:M32)</f>
        <v>3941346.6</v>
      </c>
      <c r="N28" s="495">
        <f t="shared" si="7"/>
        <v>4992897.2699999996</v>
      </c>
      <c r="O28" s="80"/>
    </row>
    <row r="29" spans="2:27" ht="36" x14ac:dyDescent="0.35">
      <c r="B29" s="496" t="s">
        <v>7</v>
      </c>
      <c r="C29" s="497">
        <f>SUM(D29:F29)</f>
        <v>1522336</v>
      </c>
      <c r="D29" s="498">
        <f>SUM('kuni 2025 detsember tegevuskava'!W122:Y122)</f>
        <v>0</v>
      </c>
      <c r="E29" s="499">
        <f>SUM('kuni 2025 detsember tegevuskava'!Z122:AB122)</f>
        <v>290976</v>
      </c>
      <c r="F29" s="500">
        <f>SUM('kuni 2025 detsember tegevuskava'!AC122:AE122)</f>
        <v>1231360</v>
      </c>
      <c r="G29" s="80"/>
      <c r="H29" s="80"/>
      <c r="I29" s="394"/>
      <c r="J29" s="496" t="s">
        <v>7</v>
      </c>
      <c r="K29" s="497">
        <f>SUM(L29:N29)</f>
        <v>8238547.8200000003</v>
      </c>
      <c r="L29" s="498">
        <f>SUM('kuni 2025 detsember tegevuskava'!W166:Y166)</f>
        <v>0</v>
      </c>
      <c r="M29" s="499">
        <f>SUM('kuni 2025 detsember tegevuskava'!Z166:AB166)</f>
        <v>3581784.6</v>
      </c>
      <c r="N29" s="500">
        <f>SUM('kuni 2025 detsember tegevuskava'!AC166:AE166)</f>
        <v>4656763.22</v>
      </c>
      <c r="O29" s="80"/>
    </row>
    <row r="30" spans="2:27" ht="48" x14ac:dyDescent="0.35">
      <c r="B30" s="496" t="s">
        <v>543</v>
      </c>
      <c r="C30" s="501">
        <f t="shared" ref="C30:C32" si="8">SUM(D30:F30)</f>
        <v>0</v>
      </c>
      <c r="D30" s="502">
        <f>SUM('kuni 2025 detsember tegevuskava'!W125:Y125)</f>
        <v>0</v>
      </c>
      <c r="E30" s="503">
        <f>SUM('kuni 2025 detsember tegevuskava'!Z125:AB125)</f>
        <v>0</v>
      </c>
      <c r="F30" s="504">
        <f>SUM('kuni 2025 detsember tegevuskava'!AC125:AE125)</f>
        <v>0</v>
      </c>
      <c r="G30" s="80"/>
      <c r="H30" s="80"/>
      <c r="I30" s="394"/>
      <c r="J30" s="496" t="s">
        <v>543</v>
      </c>
      <c r="K30" s="501">
        <f t="shared" ref="K30:K32" si="9">SUM(L30:N30)</f>
        <v>0</v>
      </c>
      <c r="L30" s="502">
        <f>SUM('kuni 2025 detsember tegevuskava'!W169:Y169)</f>
        <v>0</v>
      </c>
      <c r="M30" s="503">
        <f>SUM('kuni 2025 detsember tegevuskava'!Z169:AB169)</f>
        <v>0</v>
      </c>
      <c r="N30" s="504">
        <f>SUM('kuni 2025 detsember tegevuskava'!AC169:AE169)</f>
        <v>0</v>
      </c>
      <c r="O30" s="80"/>
    </row>
    <row r="31" spans="2:27" ht="84" x14ac:dyDescent="0.35">
      <c r="B31" s="496" t="s">
        <v>544</v>
      </c>
      <c r="C31" s="501">
        <f t="shared" si="8"/>
        <v>260946.3</v>
      </c>
      <c r="D31" s="502">
        <f>SUM('kuni 2025 detsember tegevuskava'!W128:Y128)</f>
        <v>9323</v>
      </c>
      <c r="E31" s="503">
        <f>SUM('kuni 2025 detsember tegevuskava'!Z128:AB128)</f>
        <v>149226</v>
      </c>
      <c r="F31" s="504">
        <f>SUM('kuni 2025 detsember tegevuskava'!AC128:AE128)</f>
        <v>102397.3</v>
      </c>
      <c r="G31" s="80"/>
      <c r="H31" s="80"/>
      <c r="I31" s="394"/>
      <c r="J31" s="496" t="s">
        <v>544</v>
      </c>
      <c r="K31" s="501">
        <f t="shared" si="9"/>
        <v>260946.3</v>
      </c>
      <c r="L31" s="502">
        <f>SUM('kuni 2025 detsember tegevuskava'!W172:Y172)</f>
        <v>9323</v>
      </c>
      <c r="M31" s="503">
        <f>SUM('kuni 2025 detsember tegevuskava'!Z172:AB172)</f>
        <v>149226</v>
      </c>
      <c r="N31" s="504">
        <f>SUM('kuni 2025 detsember tegevuskava'!AC172:AE172)</f>
        <v>102397.3</v>
      </c>
      <c r="O31" s="80"/>
    </row>
    <row r="32" spans="2:27" ht="60.5" thickBot="1" x14ac:dyDescent="0.4">
      <c r="B32" s="505" t="s">
        <v>545</v>
      </c>
      <c r="C32" s="506">
        <f t="shared" si="8"/>
        <v>0</v>
      </c>
      <c r="D32" s="507">
        <f>SUM('kuni 2025 detsember tegevuskava'!W131:Y131)</f>
        <v>0</v>
      </c>
      <c r="E32" s="508">
        <f>SUM('kuni 2025 detsember tegevuskava'!Z131:AB131)</f>
        <v>0</v>
      </c>
      <c r="F32" s="509">
        <f>SUM('kuni 2025 detsember tegevuskava'!AC131:AE131)</f>
        <v>0</v>
      </c>
      <c r="G32" s="80"/>
      <c r="H32" s="80"/>
      <c r="I32" s="394"/>
      <c r="J32" s="505" t="s">
        <v>545</v>
      </c>
      <c r="K32" s="506">
        <f t="shared" si="9"/>
        <v>444072.75</v>
      </c>
      <c r="L32" s="507">
        <f>SUM('kuni 2025 detsember tegevuskava'!W175:Y175)</f>
        <v>0</v>
      </c>
      <c r="M32" s="508">
        <f>SUM('kuni 2025 detsember tegevuskava'!Z175:AB175)</f>
        <v>210336</v>
      </c>
      <c r="N32" s="509">
        <f>SUM('kuni 2025 detsember tegevuskava'!AC175:AE175)</f>
        <v>233736.75</v>
      </c>
      <c r="O32" s="80"/>
    </row>
    <row r="34" spans="2:16" ht="15" thickBot="1" x14ac:dyDescent="0.4"/>
    <row r="35" spans="2:16" ht="30.65" customHeight="1" x14ac:dyDescent="0.35">
      <c r="B35" s="643" t="s">
        <v>546</v>
      </c>
      <c r="C35" s="645" t="s">
        <v>62</v>
      </c>
      <c r="D35" s="645" t="s">
        <v>63</v>
      </c>
      <c r="E35" s="189" t="s">
        <v>64</v>
      </c>
      <c r="F35" s="647" t="s">
        <v>547</v>
      </c>
      <c r="G35" s="648"/>
      <c r="H35" s="649"/>
      <c r="I35" s="651" t="s">
        <v>69</v>
      </c>
      <c r="J35" s="652"/>
      <c r="K35" s="651" t="s">
        <v>548</v>
      </c>
      <c r="L35" s="652"/>
      <c r="M35" s="651" t="s">
        <v>549</v>
      </c>
      <c r="N35" s="652"/>
      <c r="O35" s="651" t="s">
        <v>550</v>
      </c>
      <c r="P35" s="656"/>
    </row>
    <row r="36" spans="2:16" ht="15" thickBot="1" x14ac:dyDescent="0.4">
      <c r="B36" s="644"/>
      <c r="C36" s="646"/>
      <c r="D36" s="646"/>
      <c r="E36" s="56"/>
      <c r="F36" s="606"/>
      <c r="G36" s="606"/>
      <c r="H36" s="650"/>
      <c r="I36" s="654" t="s">
        <v>551</v>
      </c>
      <c r="J36" s="655"/>
      <c r="K36" s="654" t="s">
        <v>551</v>
      </c>
      <c r="L36" s="655"/>
      <c r="M36" s="654" t="s">
        <v>551</v>
      </c>
      <c r="N36" s="655"/>
      <c r="O36" s="654" t="s">
        <v>551</v>
      </c>
      <c r="P36" s="657"/>
    </row>
    <row r="37" spans="2:16" ht="15" thickBot="1" x14ac:dyDescent="0.4">
      <c r="B37" s="153" t="s">
        <v>552</v>
      </c>
      <c r="C37" s="154"/>
      <c r="D37" s="154"/>
      <c r="E37" s="154"/>
      <c r="F37" s="155"/>
      <c r="G37" s="156"/>
      <c r="H37" s="157"/>
      <c r="I37" s="150" t="e">
        <f>SUM(I38:I40)</f>
        <v>#REF!</v>
      </c>
      <c r="J37" s="140"/>
      <c r="K37" s="141" t="e">
        <f>SUM(K38:K40)</f>
        <v>#REF!</v>
      </c>
      <c r="L37" s="142"/>
      <c r="M37" s="141" t="e">
        <f>SUM(M38:M40)</f>
        <v>#REF!</v>
      </c>
      <c r="N37" s="140"/>
      <c r="O37" s="141" t="e">
        <f>SUM(O38:O40)</f>
        <v>#REF!</v>
      </c>
      <c r="P37" s="143"/>
    </row>
    <row r="38" spans="2:16" x14ac:dyDescent="0.35">
      <c r="B38" s="158"/>
      <c r="C38" s="8"/>
      <c r="D38" s="8"/>
      <c r="E38" s="8"/>
      <c r="F38" s="144"/>
      <c r="G38" s="8"/>
      <c r="H38" s="159"/>
      <c r="I38" s="129" t="e">
        <f>SUM(I42+I51+I60+I69+I78+I87+I96+I105+I114+I123+I132+I141+I150+I159+I168+I177+I186+I195+I204+I213+I222+I231+I240+I249+I258+I267+I276+I285+I294+I303+I312+I321+I330+I339+I348+I357+I366+I375+I384+I393+I402+I411+I420+I429+I438+I447+I456+I465+I474+I483+I492+I501+I510+I519+I528+I537+I546+I555+I564)</f>
        <v>#REF!</v>
      </c>
      <c r="J38" s="126" t="str">
        <f>"(15)"</f>
        <v>(15)</v>
      </c>
      <c r="K38" s="59" t="e">
        <f>SUM(K42+K51+K60+K69+K78+K87+K96+K105+K114+K123+K132+K141+K150+K159+K168+K177+K186+K195+K204+K213+K222+K231+K240+K249+K258+K267+K276+K285+K294+K303+K312+K321+K330+K339+K348+K357+K366+K375+K384+K393+K402+K411+K420+K429+K438+K447+K456+K465+K474+K483+K492+K501+K510+K519+K528+K537+K546+K555+K564)</f>
        <v>#REF!</v>
      </c>
      <c r="L38" s="126" t="str">
        <f>"(15)"</f>
        <v>(15)</v>
      </c>
      <c r="M38" s="59" t="e">
        <f>SUM(M42+M51+M60+M69+M78+M87+M96+M105+M114+M123+M132+M141+M150+M159+M168+M177+M186+M195+M204+M213+M222+M231+M240+M249+M258+M267+M276+M285+M294+M303+M312+M321+M330+M339+M348+M357+M366+M375+M384+M393+M402+M411+M420+M429+M438+M447+M456+M465+M474+M483+M492+M501+M510+M519+M528+M537+M546+M555+M564)</f>
        <v>#REF!</v>
      </c>
      <c r="N38" s="126" t="str">
        <f>"(15)"</f>
        <v>(15)</v>
      </c>
      <c r="O38" s="59" t="e">
        <f>SUM(O42+O51+O60+O69+O78+O87+O96+O105+O114+O123+O132+O141+O150+O159+O168+O177+O186+O195+O204+O213+O222+O231+O240+O249+O258+O267+O276+O285+O294+O303+O312+O321+O330+O339+O348+O357+O366+O375+O384+O393+O402+O411+O420+O429+O438+O447+O456+O465+O474+O483+O492+O501+O510+O519+O528+O537+O546+O555+O564)</f>
        <v>#REF!</v>
      </c>
      <c r="P38" s="67" t="str">
        <f>"(15)"</f>
        <v>(15)</v>
      </c>
    </row>
    <row r="39" spans="2:16" ht="16.5" x14ac:dyDescent="0.35">
      <c r="B39" s="145"/>
      <c r="C39" s="8"/>
      <c r="D39" s="8"/>
      <c r="E39" s="8"/>
      <c r="F39" s="144"/>
      <c r="G39" s="8"/>
      <c r="H39" s="190"/>
      <c r="I39" s="129" t="e">
        <f t="shared" ref="I39:K40" si="10">SUM(I43+I52+I61+I70+I79+I88+I97+I106+I115+I124+I133+I142+I151+I160+I169+I178+I187+I196+I205+I214+I223+I232+I241+I250+I259+I268+I277+I286+I295+I304+I313+I322+I331+I340+I349+I358+I367+I376+I385+I394+I403+I412+I421+I430+I439+I448+I457+I466+I475+I484+I493+I502+I511+I520+I529+I538+I547+I556+I565)</f>
        <v>#REF!</v>
      </c>
      <c r="J39" s="126" t="str">
        <f>"(50)"</f>
        <v>(50)</v>
      </c>
      <c r="K39" s="59" t="e">
        <f t="shared" si="10"/>
        <v>#REF!</v>
      </c>
      <c r="L39" s="126" t="str">
        <f>"(50)"</f>
        <v>(50)</v>
      </c>
      <c r="M39" s="59" t="e">
        <f t="shared" ref="M39" si="11">SUM(M43+M52+M61+M70+M79+M88+M97+M106+M115+M124+M133+M142+M151+M160+M169+M178+M187+M196+M205+M214+M223+M232+M241+M250+M259+M268+M277+M286+M295+M304+M313+M322+M331+M340+M349+M358+M367+M376+M385+M394+M403+M412+M421+M430+M439+M448+M457+M466+M475+M484+M493+M502+M511+M520+M529+M538+M547+M556+M565)</f>
        <v>#REF!</v>
      </c>
      <c r="N39" s="126" t="str">
        <f>"(50)"</f>
        <v>(50)</v>
      </c>
      <c r="O39" s="59" t="e">
        <f t="shared" ref="O39" si="12">SUM(O43+O52+O61+O70+O79+O88+O97+O106+O115+O124+O133+O142+O151+O160+O169+O178+O187+O196+O205+O214+O223+O232+O241+O250+O259+O268+O277+O286+O295+O304+O313+O322+O331+O340+O349+O358+O367+O376+O385+O394+O403+O412+O421+O430+O439+O448+O457+O466+O475+O484+O493+O502+O511+O520+O529+O538+O547+O556+O565)</f>
        <v>#REF!</v>
      </c>
      <c r="P39" s="67" t="str">
        <f>"(50)"</f>
        <v>(50)</v>
      </c>
    </row>
    <row r="40" spans="2:16" ht="17" thickBot="1" x14ac:dyDescent="0.4">
      <c r="B40" s="160"/>
      <c r="C40" s="161"/>
      <c r="D40" s="161"/>
      <c r="E40" s="161"/>
      <c r="F40" s="162"/>
      <c r="G40" s="161"/>
      <c r="H40" s="191"/>
      <c r="I40" s="129" t="e">
        <f t="shared" si="10"/>
        <v>#REF!</v>
      </c>
      <c r="J40" s="126" t="str">
        <f>"(55)"</f>
        <v>(55)</v>
      </c>
      <c r="K40" s="59" t="e">
        <f t="shared" si="10"/>
        <v>#REF!</v>
      </c>
      <c r="L40" s="126" t="str">
        <f>"(55)"</f>
        <v>(55)</v>
      </c>
      <c r="M40" s="59" t="e">
        <f t="shared" ref="M40" si="13">SUM(M44+M53+M62+M71+M80+M89+M98+M107+M116+M125+M134+M143+M152+M161+M170+M179+M188+M197+M206+M215+M224+M233+M242+M251+M260+M269+M278+M287+M296+M305+M314+M323+M332+M341+M350+M359+M368+M377+M386+M395+M404+M413+M422+M431+M440+M449+M458+M467+M476+M485+M494+M503+M512+M521+M530+M539+M548+M557+M566)</f>
        <v>#REF!</v>
      </c>
      <c r="N40" s="126" t="str">
        <f>"(55)"</f>
        <v>(55)</v>
      </c>
      <c r="O40" s="59" t="e">
        <f t="shared" ref="O40" si="14">SUM(O44+O53+O62+O71+O80+O89+O98+O107+O116+O125+O134+O143+O152+O161+O170+O179+O188+O197+O206+O215+O224+O233+O242+O251+O260+O269+O278+O287+O296+O305+O314+O323+O332+O341+O350+O359+O368+O377+O386+O395+O404+O413+O422+O431+O440+O449+O458+O467+O476+O485+O494+O503+O512+O521+O530+O539+O548+O557+O566)</f>
        <v>#REF!</v>
      </c>
      <c r="P40" s="67" t="str">
        <f>"(55)"</f>
        <v>(55)</v>
      </c>
    </row>
    <row r="41" spans="2:16" ht="14.4" customHeight="1" x14ac:dyDescent="0.35">
      <c r="B41" s="186" t="str">
        <f>'kuni 2025 detsember tegevuskava'!A35&amp;"/"&amp;'kuni 2025 detsember tegevuskava'!C35</f>
        <v>Sotsiaalministeerium/</v>
      </c>
      <c r="C41" s="8" t="str">
        <f>'kuni 2025 detsember tegevuskava'!I35</f>
        <v>Isikustatud sotsiaalmaksu alusel arvutatavate komponentide arv on ajas kasvanud ning sellest lähtuvalt pensioni ning teiste sotsiaalvaldkonna hüvitiste  arvutamise keerukus suurenenud. Täna puudub inimesel kasutajasõbralik iseteeninduse vaade isikustatud sotsiaalmaksu andmete vaatamiseks ning sellest tulenevalt ka planeerida oma valikuid</v>
      </c>
      <c r="D41" s="8" t="str">
        <f>'kuni 2025 detsember tegevuskava'!J35</f>
        <v>Isikustatud sotsiaalmaksu analüüs</v>
      </c>
      <c r="E41" s="8" t="str">
        <f>'kuni 2025 detsember tegevuskava'!K35</f>
        <v>2024 aastal valmib eelanalüüs mis on sisendiks 2024 arendusele. 2025 valmib arendus</v>
      </c>
      <c r="F41" s="8" t="str">
        <f>'kuni 2025 detsember tegevuskava'!O35&amp;"/"</f>
        <v>SF 21-27 (taotletav raha)/</v>
      </c>
      <c r="G41" s="8" cm="1">
        <f t="array" ref="G41">_xlfn.IFS('kuni 2025 detsember tegevuskava'!G35='kuni 2025 detsember tegevuskava'!$G$77,1,'kuni 2025 detsember tegevuskava'!G35='kuni 2025 detsember tegevuskava'!$G$78,2,'kuni 2025 detsember tegevuskava'!G35='kuni 2025 detsember tegevuskava'!$G$79,3,'kuni 2025 detsember tegevuskava'!G35='kuni 2025 detsember tegevuskava'!$G$80,4)</f>
        <v>1</v>
      </c>
      <c r="H41" s="192" cm="1">
        <f t="array" ref="H41">_xlfn.IFS(OR('kuni 2025 detsember tegevuskava'!O35='kuni 2025 detsember tegevuskava'!$O$77,'kuni 2025 detsember tegevuskava'!O35='kuni 2025 detsember tegevuskava'!$O$79,'kuni 2025 detsember tegevuskava'!O35='kuni 2025 detsember tegevuskava'!$O$80,'kuni 2025 detsember tegevuskava'!O35='kuni 2025 detsember tegevuskava'!$O$81),1,'kuni 2025 detsember tegevuskava'!O35='kuni 2025 detsember tegevuskava'!$O$82,2,'kuni 2025 detsember tegevuskava'!O35='kuni 2025 detsember tegevuskava'!$O$83,2,'kuni 2025 detsember tegevuskava'!O35='kuni 2025 detsember tegevuskava'!$O$78,3)</f>
        <v>2</v>
      </c>
      <c r="I41" s="139">
        <f>SUM(I42:I44)</f>
        <v>147310</v>
      </c>
      <c r="J41" s="165"/>
      <c r="K41" s="62">
        <f>SUM(K42:K44)</f>
        <v>0</v>
      </c>
      <c r="L41" s="166"/>
      <c r="M41" s="62">
        <f>SUM(M42:M44)</f>
        <v>147310</v>
      </c>
      <c r="N41" s="65"/>
      <c r="O41" s="62">
        <f>SUM(O42:O44)</f>
        <v>0</v>
      </c>
      <c r="P41" s="66"/>
    </row>
    <row r="42" spans="2:16" ht="16.5" x14ac:dyDescent="0.35">
      <c r="B42" s="145"/>
      <c r="C42" s="8"/>
      <c r="D42" s="8"/>
      <c r="E42" s="8"/>
      <c r="F42" s="8"/>
      <c r="G42" s="8"/>
      <c r="H42" s="192"/>
      <c r="I42" s="137">
        <f>SUM(K42+M42+O42)</f>
        <v>88000</v>
      </c>
      <c r="J42" s="126" t="str">
        <f>"(15)"</f>
        <v>(15)</v>
      </c>
      <c r="K42" s="59">
        <f>'kuni 2025 detsember tegevuskava'!W35</f>
        <v>0</v>
      </c>
      <c r="L42" s="126" t="str">
        <f>"(15)"</f>
        <v>(15)</v>
      </c>
      <c r="M42" s="59">
        <f>'kuni 2025 detsember tegevuskava'!Z35</f>
        <v>88000</v>
      </c>
      <c r="N42" s="126" t="str">
        <f>"(15)"</f>
        <v>(15)</v>
      </c>
      <c r="O42" s="59">
        <f>'kuni 2025 detsember tegevuskava'!AC35</f>
        <v>0</v>
      </c>
      <c r="P42" s="67" t="str">
        <f>"(15)"</f>
        <v>(15)</v>
      </c>
    </row>
    <row r="43" spans="2:16" ht="16.5" x14ac:dyDescent="0.35">
      <c r="B43" s="145"/>
      <c r="C43" s="8"/>
      <c r="D43" s="8"/>
      <c r="E43" s="8"/>
      <c r="F43" s="8"/>
      <c r="G43" s="8"/>
      <c r="H43" s="192"/>
      <c r="I43" s="137">
        <f t="shared" ref="I43" si="15">SUM(K43+M43+O43)</f>
        <v>59310</v>
      </c>
      <c r="J43" s="126" t="str">
        <f>"(50)"</f>
        <v>(50)</v>
      </c>
      <c r="K43" s="59">
        <f>'kuni 2025 detsember tegevuskava'!X35</f>
        <v>0</v>
      </c>
      <c r="L43" s="126" t="str">
        <f>"(50)"</f>
        <v>(50)</v>
      </c>
      <c r="M43" s="59">
        <f>'kuni 2025 detsember tegevuskava'!AA35</f>
        <v>59310</v>
      </c>
      <c r="N43" s="126" t="str">
        <f>"(50)"</f>
        <v>(50)</v>
      </c>
      <c r="O43" s="59">
        <f>'kuni 2025 detsember tegevuskava'!AD35</f>
        <v>0</v>
      </c>
      <c r="P43" s="67" t="str">
        <f>"(50)"</f>
        <v>(50)</v>
      </c>
    </row>
    <row r="44" spans="2:16" ht="16.5" x14ac:dyDescent="0.35">
      <c r="B44" s="145"/>
      <c r="C44" s="8"/>
      <c r="D44" s="8"/>
      <c r="E44" s="8"/>
      <c r="F44" s="8"/>
      <c r="G44" s="8"/>
      <c r="H44" s="192"/>
      <c r="I44" s="137">
        <f>SUM(K44+M44+O44)</f>
        <v>0</v>
      </c>
      <c r="J44" s="126" t="str">
        <f>"(55)"</f>
        <v>(55)</v>
      </c>
      <c r="K44" s="164">
        <f>'kuni 2025 detsember tegevuskava'!Y35</f>
        <v>0</v>
      </c>
      <c r="L44" s="126" t="str">
        <f>"(55)"</f>
        <v>(55)</v>
      </c>
      <c r="M44" s="164">
        <f>'kuni 2025 detsember tegevuskava'!AB35</f>
        <v>0</v>
      </c>
      <c r="N44" s="126" t="str">
        <f>"(55)"</f>
        <v>(55)</v>
      </c>
      <c r="O44" s="164">
        <f>'kuni 2025 detsember tegevuskava'!AE35</f>
        <v>0</v>
      </c>
      <c r="P44" s="67" t="str">
        <f>"(55)"</f>
        <v>(55)</v>
      </c>
    </row>
    <row r="45" spans="2:16" ht="16.5" x14ac:dyDescent="0.35">
      <c r="B45" s="145"/>
      <c r="C45" s="8"/>
      <c r="D45" s="8"/>
      <c r="E45" s="8"/>
      <c r="F45" s="8"/>
      <c r="G45" s="8"/>
      <c r="H45" s="192"/>
      <c r="I45" s="136" t="s">
        <v>553</v>
      </c>
      <c r="J45" s="167"/>
      <c r="K45" s="98"/>
      <c r="L45" s="101"/>
      <c r="M45" s="98"/>
      <c r="N45" s="101"/>
      <c r="O45" s="98"/>
      <c r="P45" s="169"/>
    </row>
    <row r="46" spans="2:16" ht="16.5" x14ac:dyDescent="0.35">
      <c r="B46" s="145"/>
      <c r="C46" s="8"/>
      <c r="D46" s="8"/>
      <c r="E46" s="8"/>
      <c r="F46" s="8"/>
      <c r="G46" s="8"/>
      <c r="H46" s="192"/>
      <c r="I46" s="138">
        <f>SUM(I47:I49)</f>
        <v>166670</v>
      </c>
      <c r="J46" s="126"/>
      <c r="K46" s="149">
        <f>SUM(K47:K49)</f>
        <v>0</v>
      </c>
      <c r="L46" s="171"/>
      <c r="M46" s="146">
        <f>SUM(M47:M49)</f>
        <v>166670</v>
      </c>
      <c r="N46" s="106"/>
      <c r="O46" s="146">
        <f>SUM(O47:O49)</f>
        <v>0</v>
      </c>
      <c r="P46" s="169"/>
    </row>
    <row r="47" spans="2:16" ht="16.5" x14ac:dyDescent="0.35">
      <c r="B47" s="145"/>
      <c r="C47" s="8"/>
      <c r="D47" s="8"/>
      <c r="E47" s="8"/>
      <c r="F47" s="8"/>
      <c r="G47" s="8"/>
      <c r="H47" s="192"/>
      <c r="I47" s="137">
        <f>SUM(K47+M47+O47)</f>
        <v>107360</v>
      </c>
      <c r="J47" s="126" t="str">
        <f>"(15)"</f>
        <v>(15)</v>
      </c>
      <c r="K47" s="59">
        <f>SUM(K42*1.2)</f>
        <v>0</v>
      </c>
      <c r="L47" s="126" t="str">
        <f>"(15)"</f>
        <v>(15)</v>
      </c>
      <c r="M47" s="59">
        <f>SUM(M42*1.22)</f>
        <v>107360</v>
      </c>
      <c r="N47" s="126" t="str">
        <f>"(15)"</f>
        <v>(15)</v>
      </c>
      <c r="O47" s="59">
        <f>SUM(O42*1.22)</f>
        <v>0</v>
      </c>
      <c r="P47" s="67" t="str">
        <f>"(15)"</f>
        <v>(15)</v>
      </c>
    </row>
    <row r="48" spans="2:16" ht="16.5" x14ac:dyDescent="0.35">
      <c r="B48" s="145"/>
      <c r="C48" s="8"/>
      <c r="D48" s="8"/>
      <c r="E48" s="8"/>
      <c r="F48" s="8"/>
      <c r="G48" s="8"/>
      <c r="H48" s="192"/>
      <c r="I48" s="137">
        <f t="shared" ref="I48" si="16">SUM(K48+M48+O48)</f>
        <v>59310</v>
      </c>
      <c r="J48" s="126" t="str">
        <f>"(50)"</f>
        <v>(50)</v>
      </c>
      <c r="K48" s="59">
        <f>K43</f>
        <v>0</v>
      </c>
      <c r="L48" s="126" t="str">
        <f>"(50)"</f>
        <v>(50)</v>
      </c>
      <c r="M48" s="59">
        <f>M43</f>
        <v>59310</v>
      </c>
      <c r="N48" s="126" t="str">
        <f>"(50)"</f>
        <v>(50)</v>
      </c>
      <c r="O48" s="59">
        <f>O43</f>
        <v>0</v>
      </c>
      <c r="P48" s="67" t="str">
        <f>"(50)"</f>
        <v>(50)</v>
      </c>
    </row>
    <row r="49" spans="2:16" ht="17" thickBot="1" x14ac:dyDescent="0.4">
      <c r="B49" s="160"/>
      <c r="C49" s="161"/>
      <c r="D49" s="161"/>
      <c r="E49" s="161"/>
      <c r="F49" s="161"/>
      <c r="G49" s="161"/>
      <c r="H49" s="193"/>
      <c r="I49" s="137">
        <f>SUM(K49+M49+O49)</f>
        <v>0</v>
      </c>
      <c r="J49" s="70" t="str">
        <f>"(55)"</f>
        <v>(55)</v>
      </c>
      <c r="K49" s="71">
        <f>SUM(K44*1.2)</f>
        <v>0</v>
      </c>
      <c r="L49" s="70" t="str">
        <f>"(55)"</f>
        <v>(55)</v>
      </c>
      <c r="M49" s="59">
        <f>SUM(M44*1.22)</f>
        <v>0</v>
      </c>
      <c r="N49" s="70" t="str">
        <f>"(55)"</f>
        <v>(55)</v>
      </c>
      <c r="O49" s="71">
        <f>SUM(O44*1.22)</f>
        <v>0</v>
      </c>
      <c r="P49" s="72" t="str">
        <f>"(55)"</f>
        <v>(55)</v>
      </c>
    </row>
    <row r="50" spans="2:16" ht="16.5" x14ac:dyDescent="0.35">
      <c r="B50" s="145" t="str">
        <f>'kuni 2025 detsember tegevuskava'!A36&amp;"/"&amp;'kuni 2025 detsember tegevuskava'!C36</f>
        <v>Sotsiaalministeerium/</v>
      </c>
      <c r="C50" s="8" t="str">
        <f>'kuni 2025 detsember tegevuskava'!I36</f>
        <v>Isikustatud sotsiaalmaksu alusel arvutatavate komponentide arv on ajas kasvanud ning sellest lähtuvalt pensioni ning teiste sotsiaalvaldkonna hüvitiste  arvutamise keerukus suurenenud. Täna puudub inimesel kasutajasõbralik iseteeninduse vaade isikustatud sotsiaalmaksu andmete vaatamiseks ning sellest tulenevalt ka planeerida oma valikuid</v>
      </c>
      <c r="D50" s="8" t="str">
        <f>'kuni 2025 detsember tegevuskava'!J36</f>
        <v>Isikustatud sotsiaalmaksu arendus</v>
      </c>
      <c r="E50" s="8" t="str">
        <f>'kuni 2025 detsember tegevuskava'!K36</f>
        <v>2024 aastal arendus</v>
      </c>
      <c r="F50" s="8" t="str">
        <f>'kuni 2025 detsember tegevuskava'!O36&amp;"/"</f>
        <v>SF 21-27 (taotletav raha)/</v>
      </c>
      <c r="G50" s="8" cm="1">
        <f t="array" ref="G50">_xlfn.IFS('kuni 2025 detsember tegevuskava'!G36='kuni 2025 detsember tegevuskava'!$G$77,1,'kuni 2025 detsember tegevuskava'!G36='kuni 2025 detsember tegevuskava'!$G$78,2,'kuni 2025 detsember tegevuskava'!G36='kuni 2025 detsember tegevuskava'!$G$79,3,'kuni 2025 detsember tegevuskava'!G36='kuni 2025 detsember tegevuskava'!$G$80,4)</f>
        <v>1</v>
      </c>
      <c r="H50" s="192" cm="1">
        <f t="array" ref="H50">_xlfn.IFS(OR('kuni 2025 detsember tegevuskava'!O36='kuni 2025 detsember tegevuskava'!$O$77,'kuni 2025 detsember tegevuskava'!O36='kuni 2025 detsember tegevuskava'!$O$79,'kuni 2025 detsember tegevuskava'!O36='kuni 2025 detsember tegevuskava'!$O$80,'kuni 2025 detsember tegevuskava'!O36='kuni 2025 detsember tegevuskava'!$O$81),1,'kuni 2025 detsember tegevuskava'!O36='kuni 2025 detsember tegevuskava'!$O$82,2,'kuni 2025 detsember tegevuskava'!O36='kuni 2025 detsember tegevuskava'!$O$83,2,'kuni 2025 detsember tegevuskava'!O36='kuni 2025 detsember tegevuskava'!$O$78,3)</f>
        <v>2</v>
      </c>
      <c r="I50" s="139">
        <f>SUM(I51:I53)</f>
        <v>703596</v>
      </c>
      <c r="J50" s="126"/>
      <c r="K50" s="139">
        <f>SUM(K51:K53)</f>
        <v>0</v>
      </c>
      <c r="L50" s="127"/>
      <c r="M50" s="139">
        <f>SUM(M51:M53)</f>
        <v>0</v>
      </c>
      <c r="N50" s="128"/>
      <c r="O50" s="125">
        <f>SUM(O51:O53)</f>
        <v>703596</v>
      </c>
      <c r="P50" s="67"/>
    </row>
    <row r="51" spans="2:16" ht="16.5" x14ac:dyDescent="0.35">
      <c r="B51" s="145"/>
      <c r="C51" s="8"/>
      <c r="D51" s="8"/>
      <c r="E51" s="8"/>
      <c r="F51" s="8"/>
      <c r="G51" s="8"/>
      <c r="H51" s="192"/>
      <c r="I51" s="137">
        <f>SUM(K51+M51+O51)</f>
        <v>590850</v>
      </c>
      <c r="J51" s="126" t="str">
        <f>"(15)"</f>
        <v>(15)</v>
      </c>
      <c r="K51" s="59">
        <f>'kuni 2025 detsember tegevuskava'!W36</f>
        <v>0</v>
      </c>
      <c r="L51" s="126" t="str">
        <f>"(15)"</f>
        <v>(15)</v>
      </c>
      <c r="M51" s="59">
        <f>'kuni 2025 detsember tegevuskava'!Z36</f>
        <v>0</v>
      </c>
      <c r="N51" s="126" t="str">
        <f>"(15)"</f>
        <v>(15)</v>
      </c>
      <c r="O51" s="59">
        <f>'kuni 2025 detsember tegevuskava'!AC36</f>
        <v>590850</v>
      </c>
      <c r="P51" s="67" t="str">
        <f>"(15)"</f>
        <v>(15)</v>
      </c>
    </row>
    <row r="52" spans="2:16" ht="16.5" x14ac:dyDescent="0.35">
      <c r="B52" s="145"/>
      <c r="C52" s="8"/>
      <c r="D52" s="8"/>
      <c r="E52" s="8"/>
      <c r="F52" s="8"/>
      <c r="G52" s="8"/>
      <c r="H52" s="192"/>
      <c r="I52" s="137">
        <f t="shared" ref="I52:I53" si="17">SUM(K52+M52+O52)</f>
        <v>112746</v>
      </c>
      <c r="J52" s="126" t="str">
        <f>"(50)"</f>
        <v>(50)</v>
      </c>
      <c r="K52" s="59">
        <f>'kuni 2025 detsember tegevuskava'!X36</f>
        <v>0</v>
      </c>
      <c r="L52" s="126" t="str">
        <f>"(50)"</f>
        <v>(50)</v>
      </c>
      <c r="M52" s="59">
        <f>'kuni 2025 detsember tegevuskava'!AA36</f>
        <v>0</v>
      </c>
      <c r="N52" s="126" t="str">
        <f>"(50)"</f>
        <v>(50)</v>
      </c>
      <c r="O52" s="59">
        <f>'kuni 2025 detsember tegevuskava'!AD36</f>
        <v>112746</v>
      </c>
      <c r="P52" s="67" t="str">
        <f>"(50)"</f>
        <v>(50)</v>
      </c>
    </row>
    <row r="53" spans="2:16" ht="16.5" x14ac:dyDescent="0.35">
      <c r="B53" s="145"/>
      <c r="C53" s="8"/>
      <c r="D53" s="8"/>
      <c r="E53" s="8"/>
      <c r="F53" s="8"/>
      <c r="G53" s="8"/>
      <c r="H53" s="192"/>
      <c r="I53" s="137">
        <f t="shared" si="17"/>
        <v>0</v>
      </c>
      <c r="J53" s="60" t="str">
        <f>"(55)"</f>
        <v>(55)</v>
      </c>
      <c r="K53" s="61">
        <f>'kuni 2025 detsember tegevuskava'!Y36</f>
        <v>0</v>
      </c>
      <c r="L53" s="60" t="str">
        <f>"(55)"</f>
        <v>(55)</v>
      </c>
      <c r="M53" s="61">
        <f>'kuni 2025 detsember tegevuskava'!AB36</f>
        <v>0</v>
      </c>
      <c r="N53" s="60" t="str">
        <f>"(55)"</f>
        <v>(55)</v>
      </c>
      <c r="O53" s="61">
        <f>'kuni 2025 detsember tegevuskava'!AE36</f>
        <v>0</v>
      </c>
      <c r="P53" s="68" t="str">
        <f>"(55)"</f>
        <v>(55)</v>
      </c>
    </row>
    <row r="54" spans="2:16" ht="16.5" x14ac:dyDescent="0.35">
      <c r="B54" s="145"/>
      <c r="C54" s="8"/>
      <c r="D54" s="8"/>
      <c r="E54" s="8"/>
      <c r="F54" s="8"/>
      <c r="G54" s="8"/>
      <c r="H54" s="192"/>
      <c r="I54" s="163" t="s">
        <v>553</v>
      </c>
      <c r="J54" s="8"/>
      <c r="K54" s="8"/>
      <c r="L54" s="8"/>
      <c r="M54" s="8"/>
      <c r="N54" s="8"/>
      <c r="O54" s="8"/>
      <c r="P54" s="159"/>
    </row>
    <row r="55" spans="2:16" ht="16.5" x14ac:dyDescent="0.35">
      <c r="B55" s="145"/>
      <c r="C55" s="8"/>
      <c r="D55" s="8"/>
      <c r="E55" s="8"/>
      <c r="F55" s="8"/>
      <c r="G55" s="8"/>
      <c r="H55" s="192"/>
      <c r="I55" s="149">
        <f>SUM(I56:I58)</f>
        <v>833583</v>
      </c>
      <c r="J55" s="147"/>
      <c r="K55" s="149">
        <f>SUM(K56:K58)</f>
        <v>0</v>
      </c>
      <c r="L55" s="148"/>
      <c r="M55" s="149">
        <f>SUM(M56:M58)</f>
        <v>0</v>
      </c>
      <c r="N55" s="107"/>
      <c r="O55" s="149">
        <f>SUM(O56:O58)</f>
        <v>833583</v>
      </c>
      <c r="P55" s="134"/>
    </row>
    <row r="56" spans="2:16" ht="16.5" x14ac:dyDescent="0.35">
      <c r="B56" s="145"/>
      <c r="C56" s="8"/>
      <c r="D56" s="8"/>
      <c r="E56" s="8"/>
      <c r="F56" s="8"/>
      <c r="G56" s="8"/>
      <c r="H56" s="192"/>
      <c r="I56" s="137">
        <f>SUM(K56+M56+O56)</f>
        <v>720837</v>
      </c>
      <c r="J56" s="126" t="str">
        <f>"(15)"</f>
        <v>(15)</v>
      </c>
      <c r="K56" s="59">
        <f>SUM(K51*1.2)</f>
        <v>0</v>
      </c>
      <c r="L56" s="126" t="str">
        <f>"(15)"</f>
        <v>(15)</v>
      </c>
      <c r="M56" s="59">
        <f>SUM(M51*1.22)</f>
        <v>0</v>
      </c>
      <c r="N56" s="126" t="str">
        <f>"(15)"</f>
        <v>(15)</v>
      </c>
      <c r="O56" s="59">
        <f>SUM(O51*1.22)</f>
        <v>720837</v>
      </c>
      <c r="P56" s="67" t="str">
        <f>"(15)"</f>
        <v>(15)</v>
      </c>
    </row>
    <row r="57" spans="2:16" ht="16.5" x14ac:dyDescent="0.35">
      <c r="B57" s="145"/>
      <c r="C57" s="8"/>
      <c r="D57" s="8"/>
      <c r="E57" s="8"/>
      <c r="F57" s="8"/>
      <c r="G57" s="8"/>
      <c r="H57" s="192"/>
      <c r="I57" s="137">
        <f t="shared" ref="I57:I58" si="18">SUM(K57+M57+O57)</f>
        <v>112746</v>
      </c>
      <c r="J57" s="126" t="str">
        <f>"(50)"</f>
        <v>(50)</v>
      </c>
      <c r="K57" s="59">
        <f>K52</f>
        <v>0</v>
      </c>
      <c r="L57" s="126" t="str">
        <f>"(50)"</f>
        <v>(50)</v>
      </c>
      <c r="M57" s="59">
        <f>M52</f>
        <v>0</v>
      </c>
      <c r="N57" s="126" t="str">
        <f>"(50)"</f>
        <v>(50)</v>
      </c>
      <c r="O57" s="59">
        <f>O52</f>
        <v>112746</v>
      </c>
      <c r="P57" s="67" t="str">
        <f>"(50)"</f>
        <v>(50)</v>
      </c>
    </row>
    <row r="58" spans="2:16" ht="17" thickBot="1" x14ac:dyDescent="0.4">
      <c r="B58" s="160"/>
      <c r="C58" s="161"/>
      <c r="D58" s="161"/>
      <c r="E58" s="161"/>
      <c r="F58" s="161"/>
      <c r="G58" s="161"/>
      <c r="H58" s="193"/>
      <c r="I58" s="137">
        <f t="shared" si="18"/>
        <v>0</v>
      </c>
      <c r="J58" s="70" t="str">
        <f>"(55)"</f>
        <v>(55)</v>
      </c>
      <c r="K58" s="71">
        <f>SUM(K53*1.2)</f>
        <v>0</v>
      </c>
      <c r="L58" s="70" t="str">
        <f>"(55)"</f>
        <v>(55)</v>
      </c>
      <c r="M58" s="71">
        <f>SUM(M53*1.22)</f>
        <v>0</v>
      </c>
      <c r="N58" s="70" t="str">
        <f>"(55)"</f>
        <v>(55)</v>
      </c>
      <c r="O58" s="71">
        <f>SUM(O53*1.22)</f>
        <v>0</v>
      </c>
      <c r="P58" s="72" t="str">
        <f>"(55)"</f>
        <v>(55)</v>
      </c>
    </row>
    <row r="59" spans="2:16" ht="16.5" x14ac:dyDescent="0.35">
      <c r="B59" s="187" t="str">
        <f>'kuni 2025 detsember tegevuskava'!A37&amp;"/"&amp;'kuni 2025 detsember tegevuskava'!C37</f>
        <v>Sotsiaalministeerium/</v>
      </c>
      <c r="C59" s="156" t="str">
        <f>'kuni 2025 detsember tegevuskava'!I37</f>
        <v xml:space="preserve">Riiklikes registrites hoitavate isikute kontaktandmete puudulik kvaliteet takistab teenuste isikuni jõudmist ja proaktiivsuse põhimõtete elluviimist. </v>
      </c>
      <c r="D59" s="156" t="str">
        <f>'kuni 2025 detsember tegevuskava'!J37</f>
        <v>GOV SSO arendus</v>
      </c>
      <c r="E59" s="156" t="str">
        <f>'kuni 2025 detsember tegevuskava'!K37</f>
        <v>2024 aastal arendus</v>
      </c>
      <c r="F59" s="156" t="str">
        <f>'kuni 2025 detsember tegevuskava'!O37&amp;"/"</f>
        <v>SF 21-27 (taotletav raha)/</v>
      </c>
      <c r="G59" s="156" cm="1">
        <f t="array" ref="G59">_xlfn.IFS('kuni 2025 detsember tegevuskava'!G37='kuni 2025 detsember tegevuskava'!$G$77,1,'kuni 2025 detsember tegevuskava'!G37='kuni 2025 detsember tegevuskava'!$G$78,2,'kuni 2025 detsember tegevuskava'!G37='kuni 2025 detsember tegevuskava'!$G$79,3,'kuni 2025 detsember tegevuskava'!G37='kuni 2025 detsember tegevuskava'!$G$80,4)</f>
        <v>1</v>
      </c>
      <c r="H59" s="194" cm="1">
        <f t="array" ref="H59">_xlfn.IFS(OR('kuni 2025 detsember tegevuskava'!O37='kuni 2025 detsember tegevuskava'!$O$77,'kuni 2025 detsember tegevuskava'!O37='kuni 2025 detsember tegevuskava'!$O$79,'kuni 2025 detsember tegevuskava'!O37='kuni 2025 detsember tegevuskava'!$O$80,'kuni 2025 detsember tegevuskava'!O37='kuni 2025 detsember tegevuskava'!$O$81),1,'kuni 2025 detsember tegevuskava'!O37='kuni 2025 detsember tegevuskava'!$O$82,2,'kuni 2025 detsember tegevuskava'!O37='kuni 2025 detsember tegevuskava'!$O$83,2,'kuni 2025 detsember tegevuskava'!O37='kuni 2025 detsember tegevuskava'!$O$78,3)</f>
        <v>2</v>
      </c>
      <c r="I59" s="139">
        <f>SUM(I60:I62)</f>
        <v>445149</v>
      </c>
      <c r="J59" s="63"/>
      <c r="K59" s="62">
        <f>SUM(K60:K62)</f>
        <v>0</v>
      </c>
      <c r="L59" s="64"/>
      <c r="M59" s="62">
        <f>SUM(M60:M62)</f>
        <v>107146</v>
      </c>
      <c r="N59" s="65"/>
      <c r="O59" s="62">
        <f>SUM(O60:O62)</f>
        <v>338003</v>
      </c>
      <c r="P59" s="66"/>
    </row>
    <row r="60" spans="2:16" ht="16.5" x14ac:dyDescent="0.35">
      <c r="B60" s="145"/>
      <c r="C60" s="8"/>
      <c r="D60" s="8"/>
      <c r="E60" s="8"/>
      <c r="F60" s="8"/>
      <c r="G60" s="8"/>
      <c r="H60" s="192"/>
      <c r="I60" s="137">
        <f>SUM(K60+M60+O60)</f>
        <v>349700</v>
      </c>
      <c r="J60" s="126" t="str">
        <f>"(15)"</f>
        <v>(15)</v>
      </c>
      <c r="K60" s="59">
        <f>'kuni 2025 detsember tegevuskava'!W37</f>
        <v>0</v>
      </c>
      <c r="L60" s="126" t="str">
        <f>"(15)"</f>
        <v>(15)</v>
      </c>
      <c r="M60" s="59">
        <f>'kuni 2025 detsember tegevuskava'!Z37</f>
        <v>78000</v>
      </c>
      <c r="N60" s="126" t="str">
        <f>"(15)"</f>
        <v>(15)</v>
      </c>
      <c r="O60" s="59">
        <f>'kuni 2025 detsember tegevuskava'!AC37</f>
        <v>271700</v>
      </c>
      <c r="P60" s="67" t="str">
        <f>"(15)"</f>
        <v>(15)</v>
      </c>
    </row>
    <row r="61" spans="2:16" ht="16.5" x14ac:dyDescent="0.35">
      <c r="B61" s="145"/>
      <c r="C61" s="8"/>
      <c r="D61" s="8"/>
      <c r="E61" s="8"/>
      <c r="F61" s="8"/>
      <c r="G61" s="8"/>
      <c r="H61" s="192"/>
      <c r="I61" s="137">
        <f t="shared" ref="I61:I62" si="19">SUM(K61+M61+O61)</f>
        <v>95449</v>
      </c>
      <c r="J61" s="126" t="str">
        <f>"(50)"</f>
        <v>(50)</v>
      </c>
      <c r="K61" s="59">
        <f>'kuni 2025 detsember tegevuskava'!X37</f>
        <v>0</v>
      </c>
      <c r="L61" s="126" t="str">
        <f>"(50)"</f>
        <v>(50)</v>
      </c>
      <c r="M61" s="59">
        <f>'kuni 2025 detsember tegevuskava'!AA37</f>
        <v>29146</v>
      </c>
      <c r="N61" s="126" t="str">
        <f>"(50)"</f>
        <v>(50)</v>
      </c>
      <c r="O61" s="59">
        <f>'kuni 2025 detsember tegevuskava'!AD37</f>
        <v>66303</v>
      </c>
      <c r="P61" s="67" t="str">
        <f>"(50)"</f>
        <v>(50)</v>
      </c>
    </row>
    <row r="62" spans="2:16" ht="16.5" x14ac:dyDescent="0.35">
      <c r="B62" s="145"/>
      <c r="C62" s="8"/>
      <c r="D62" s="8"/>
      <c r="E62" s="8"/>
      <c r="F62" s="8"/>
      <c r="G62" s="8"/>
      <c r="H62" s="192"/>
      <c r="I62" s="137">
        <f t="shared" si="19"/>
        <v>0</v>
      </c>
      <c r="J62" s="60" t="str">
        <f>"(55)"</f>
        <v>(55)</v>
      </c>
      <c r="K62" s="61">
        <f>'kuni 2025 detsember tegevuskava'!Y37</f>
        <v>0</v>
      </c>
      <c r="L62" s="60" t="str">
        <f>"(55)"</f>
        <v>(55)</v>
      </c>
      <c r="M62" s="61">
        <f>'kuni 2025 detsember tegevuskava'!AB37</f>
        <v>0</v>
      </c>
      <c r="N62" s="60" t="str">
        <f>"(55)"</f>
        <v>(55)</v>
      </c>
      <c r="O62" s="61">
        <f>'kuni 2025 detsember tegevuskava'!AE37</f>
        <v>0</v>
      </c>
      <c r="P62" s="68" t="str">
        <f>"(55)"</f>
        <v>(55)</v>
      </c>
    </row>
    <row r="63" spans="2:16" ht="16.5" x14ac:dyDescent="0.35">
      <c r="B63" s="145"/>
      <c r="C63" s="8"/>
      <c r="D63" s="8"/>
      <c r="E63" s="8"/>
      <c r="F63" s="8"/>
      <c r="G63" s="8"/>
      <c r="H63" s="192"/>
      <c r="I63" s="180" t="s">
        <v>553</v>
      </c>
      <c r="J63" s="8"/>
      <c r="K63" s="8"/>
      <c r="L63" s="8"/>
      <c r="M63" s="8"/>
      <c r="N63" s="8"/>
      <c r="O63" s="8"/>
      <c r="P63" s="159"/>
    </row>
    <row r="64" spans="2:16" ht="16.5" x14ac:dyDescent="0.35">
      <c r="B64" s="145"/>
      <c r="C64" s="8"/>
      <c r="D64" s="8"/>
      <c r="E64" s="8"/>
      <c r="F64" s="8"/>
      <c r="G64" s="8"/>
      <c r="H64" s="192"/>
      <c r="I64" s="170">
        <f>SUM(I65:I67)</f>
        <v>522083</v>
      </c>
      <c r="J64" s="57"/>
      <c r="K64" s="170">
        <f>SUM(K65:K67)</f>
        <v>0</v>
      </c>
      <c r="L64" s="58"/>
      <c r="M64" s="170">
        <f>SUM(M65:M67)</f>
        <v>124306</v>
      </c>
      <c r="N64" s="107"/>
      <c r="O64" s="149">
        <f>SUM(O65:O67)</f>
        <v>397777</v>
      </c>
      <c r="P64" s="134"/>
    </row>
    <row r="65" spans="2:16" ht="16.5" x14ac:dyDescent="0.35">
      <c r="B65" s="145"/>
      <c r="C65" s="8"/>
      <c r="D65" s="8"/>
      <c r="E65" s="8"/>
      <c r="F65" s="8"/>
      <c r="G65" s="8"/>
      <c r="H65" s="192"/>
      <c r="I65" s="137">
        <f>SUM(K65+M65+O65)</f>
        <v>426634</v>
      </c>
      <c r="J65" s="126" t="str">
        <f>"(15)"</f>
        <v>(15)</v>
      </c>
      <c r="K65" s="59">
        <f>SUM(K60*1.2)</f>
        <v>0</v>
      </c>
      <c r="L65" s="126" t="str">
        <f>"(15)"</f>
        <v>(15)</v>
      </c>
      <c r="M65" s="59">
        <f>SUM(M60*1.22)</f>
        <v>95160</v>
      </c>
      <c r="N65" s="126" t="str">
        <f>"(15)"</f>
        <v>(15)</v>
      </c>
      <c r="O65" s="59">
        <f>SUM(O60*1.22)</f>
        <v>331474</v>
      </c>
      <c r="P65" s="67" t="str">
        <f>"(15)"</f>
        <v>(15)</v>
      </c>
    </row>
    <row r="66" spans="2:16" ht="16.5" x14ac:dyDescent="0.35">
      <c r="B66" s="145"/>
      <c r="C66" s="8"/>
      <c r="D66" s="8"/>
      <c r="E66" s="8"/>
      <c r="F66" s="8"/>
      <c r="G66" s="8"/>
      <c r="H66" s="192"/>
      <c r="I66" s="137">
        <f t="shared" ref="I66:I67" si="20">SUM(K66+M66+O66)</f>
        <v>95449</v>
      </c>
      <c r="J66" s="126" t="str">
        <f>"(50)"</f>
        <v>(50)</v>
      </c>
      <c r="K66" s="59">
        <f>K61</f>
        <v>0</v>
      </c>
      <c r="L66" s="126" t="str">
        <f>"(50)"</f>
        <v>(50)</v>
      </c>
      <c r="M66" s="59">
        <f>M61</f>
        <v>29146</v>
      </c>
      <c r="N66" s="126" t="str">
        <f>"(50)"</f>
        <v>(50)</v>
      </c>
      <c r="O66" s="59">
        <f>O61</f>
        <v>66303</v>
      </c>
      <c r="P66" s="67" t="str">
        <f>"(50)"</f>
        <v>(50)</v>
      </c>
    </row>
    <row r="67" spans="2:16" ht="17" thickBot="1" x14ac:dyDescent="0.4">
      <c r="B67" s="160"/>
      <c r="C67" s="161"/>
      <c r="D67" s="161"/>
      <c r="E67" s="161"/>
      <c r="F67" s="161"/>
      <c r="G67" s="161"/>
      <c r="H67" s="193"/>
      <c r="I67" s="137">
        <f t="shared" si="20"/>
        <v>0</v>
      </c>
      <c r="J67" s="70" t="str">
        <f>"(55)"</f>
        <v>(55)</v>
      </c>
      <c r="K67" s="59">
        <f>SUM(K62*1.2)</f>
        <v>0</v>
      </c>
      <c r="L67" s="70" t="str">
        <f>"(55)"</f>
        <v>(55)</v>
      </c>
      <c r="M67" s="59">
        <f>SUM(M62*1.22)</f>
        <v>0</v>
      </c>
      <c r="N67" s="70" t="str">
        <f>"(55)"</f>
        <v>(55)</v>
      </c>
      <c r="O67" s="71">
        <f>SUM(O62*1.22)</f>
        <v>0</v>
      </c>
      <c r="P67" s="72" t="str">
        <f>"(55)"</f>
        <v>(55)</v>
      </c>
    </row>
    <row r="68" spans="2:16" ht="16.5" x14ac:dyDescent="0.35">
      <c r="B68" s="187" t="str">
        <f>'kuni 2025 detsember tegevuskava'!A38&amp;"/"&amp;'kuni 2025 detsember tegevuskava'!C38</f>
        <v>Sotsiaalministeerium/</v>
      </c>
      <c r="C68" s="156" t="str">
        <f>'kuni 2025 detsember tegevuskava'!I38</f>
        <v xml:space="preserve">protsesside optimeerimine, uute lähenemiste rakendamine arendus, haldus ja hooldusprotsessides. </v>
      </c>
      <c r="D68" s="156" t="str">
        <f>'kuni 2025 detsember tegevuskava'!J38</f>
        <v>agile coach</v>
      </c>
      <c r="E68" s="156" t="str">
        <f>'kuni 2025 detsember tegevuskava'!K38</f>
        <v>on värvatud agile coach kes toetab TEHIKu sisemiste protsesside optimeerimisel ja uute lähenemise juurutamisel arendusetappides.</v>
      </c>
      <c r="F68" s="156" t="str">
        <f>'kuni 2025 detsember tegevuskava'!O38&amp;"/"</f>
        <v>SF 21-27 (taotletav raha)/</v>
      </c>
      <c r="G68" s="156" cm="1">
        <f t="array" ref="G68">_xlfn.IFS('kuni 2025 detsember tegevuskava'!G38='kuni 2025 detsember tegevuskava'!$G$77,1,'kuni 2025 detsember tegevuskava'!G38='kuni 2025 detsember tegevuskava'!$G$78,2,'kuni 2025 detsember tegevuskava'!G38='kuni 2025 detsember tegevuskava'!$G$79,3,'kuni 2025 detsember tegevuskava'!G38='kuni 2025 detsember tegevuskava'!$G$80,4)</f>
        <v>3</v>
      </c>
      <c r="H68" s="194" cm="1">
        <f t="array" ref="H68">_xlfn.IFS(OR('kuni 2025 detsember tegevuskava'!O38='kuni 2025 detsember tegevuskava'!$O$77,'kuni 2025 detsember tegevuskava'!O38='kuni 2025 detsember tegevuskava'!$O$79,'kuni 2025 detsember tegevuskava'!O38='kuni 2025 detsember tegevuskava'!$O$80,'kuni 2025 detsember tegevuskava'!O38='kuni 2025 detsember tegevuskava'!$O$81),1,'kuni 2025 detsember tegevuskava'!O38='kuni 2025 detsember tegevuskava'!$O$82,2,'kuni 2025 detsember tegevuskava'!O38='kuni 2025 detsember tegevuskava'!$O$83,2,'kuni 2025 detsember tegevuskava'!O38='kuni 2025 detsember tegevuskava'!$O$78,3)</f>
        <v>2</v>
      </c>
      <c r="I68" s="139">
        <f>SUM(I69:I71)</f>
        <v>90146.3</v>
      </c>
      <c r="J68" s="63"/>
      <c r="K68" s="139">
        <f>SUM(K69:K71)</f>
        <v>9323</v>
      </c>
      <c r="L68" s="64"/>
      <c r="M68" s="139">
        <f>SUM(M69:M71)</f>
        <v>39426</v>
      </c>
      <c r="N68" s="65"/>
      <c r="O68" s="62">
        <f>SUM(O69:O71)</f>
        <v>41397.300000000003</v>
      </c>
      <c r="P68" s="66"/>
    </row>
    <row r="69" spans="2:16" ht="16.5" x14ac:dyDescent="0.35">
      <c r="B69" s="145"/>
      <c r="C69" s="8"/>
      <c r="D69" s="8"/>
      <c r="E69" s="8"/>
      <c r="F69" s="8"/>
      <c r="G69" s="8"/>
      <c r="H69" s="192"/>
      <c r="I69" s="137">
        <f>SUM(K69+M69+O69)</f>
        <v>0</v>
      </c>
      <c r="J69" s="126" t="str">
        <f>"(15)"</f>
        <v>(15)</v>
      </c>
      <c r="K69" s="59">
        <f>'kuni 2025 detsember tegevuskava'!W38</f>
        <v>0</v>
      </c>
      <c r="L69" s="126" t="str">
        <f>"(15)"</f>
        <v>(15)</v>
      </c>
      <c r="M69" s="59">
        <f>'kuni 2025 detsember tegevuskava'!Z38</f>
        <v>0</v>
      </c>
      <c r="N69" s="126" t="str">
        <f>"(15)"</f>
        <v>(15)</v>
      </c>
      <c r="O69" s="59">
        <f>'kuni 2025 detsember tegevuskava'!AC38</f>
        <v>0</v>
      </c>
      <c r="P69" s="67" t="str">
        <f>"(15)"</f>
        <v>(15)</v>
      </c>
    </row>
    <row r="70" spans="2:16" ht="16.5" x14ac:dyDescent="0.35">
      <c r="B70" s="145"/>
      <c r="C70" s="8"/>
      <c r="D70" s="8"/>
      <c r="E70" s="8"/>
      <c r="F70" s="8"/>
      <c r="G70" s="8"/>
      <c r="H70" s="192"/>
      <c r="I70" s="137">
        <f t="shared" ref="I70:I71" si="21">SUM(K70+M70+O70)</f>
        <v>90146.3</v>
      </c>
      <c r="J70" s="126" t="str">
        <f>"(50)"</f>
        <v>(50)</v>
      </c>
      <c r="K70" s="59">
        <f>'kuni 2025 detsember tegevuskava'!X38</f>
        <v>9323</v>
      </c>
      <c r="L70" s="126" t="str">
        <f>"(50)"</f>
        <v>(50)</v>
      </c>
      <c r="M70" s="59">
        <f>'kuni 2025 detsember tegevuskava'!AA38</f>
        <v>39426</v>
      </c>
      <c r="N70" s="126" t="str">
        <f>"(50)"</f>
        <v>(50)</v>
      </c>
      <c r="O70" s="59">
        <f>'kuni 2025 detsember tegevuskava'!AD38</f>
        <v>41397.300000000003</v>
      </c>
      <c r="P70" s="67" t="str">
        <f>"(50)"</f>
        <v>(50)</v>
      </c>
    </row>
    <row r="71" spans="2:16" ht="16.5" x14ac:dyDescent="0.35">
      <c r="B71" s="145"/>
      <c r="C71" s="8"/>
      <c r="D71" s="8"/>
      <c r="E71" s="8"/>
      <c r="F71" s="8"/>
      <c r="G71" s="8"/>
      <c r="H71" s="192"/>
      <c r="I71" s="137">
        <f t="shared" si="21"/>
        <v>0</v>
      </c>
      <c r="J71" s="60" t="str">
        <f>"(55)"</f>
        <v>(55)</v>
      </c>
      <c r="K71" s="61">
        <f>'kuni 2025 detsember tegevuskava'!Y38</f>
        <v>0</v>
      </c>
      <c r="L71" s="60" t="str">
        <f>"(55)"</f>
        <v>(55)</v>
      </c>
      <c r="M71" s="61">
        <f>'kuni 2025 detsember tegevuskava'!AB38</f>
        <v>0</v>
      </c>
      <c r="N71" s="60" t="str">
        <f>"(55)"</f>
        <v>(55)</v>
      </c>
      <c r="O71" s="61">
        <f>'kuni 2025 detsember tegevuskava'!AE38</f>
        <v>0</v>
      </c>
      <c r="P71" s="68" t="str">
        <f>"(55)"</f>
        <v>(55)</v>
      </c>
    </row>
    <row r="72" spans="2:16" ht="16.5" x14ac:dyDescent="0.35">
      <c r="B72" s="145"/>
      <c r="C72" s="8"/>
      <c r="D72" s="8"/>
      <c r="E72" s="8"/>
      <c r="F72" s="8"/>
      <c r="G72" s="8"/>
      <c r="H72" s="192"/>
      <c r="I72" s="180" t="s">
        <v>553</v>
      </c>
      <c r="J72" s="8"/>
      <c r="K72" s="8"/>
      <c r="L72" s="8"/>
      <c r="M72" s="8"/>
      <c r="N72" s="8"/>
      <c r="O72" s="8"/>
      <c r="P72" s="159"/>
    </row>
    <row r="73" spans="2:16" ht="16.5" x14ac:dyDescent="0.35">
      <c r="B73" s="145"/>
      <c r="C73" s="8"/>
      <c r="D73" s="8"/>
      <c r="E73" s="8"/>
      <c r="F73" s="8"/>
      <c r="G73" s="8"/>
      <c r="H73" s="192"/>
      <c r="I73" s="170">
        <f>SUM(I74:I76)</f>
        <v>90146.3</v>
      </c>
      <c r="J73" s="57"/>
      <c r="K73" s="170">
        <f>SUM(K74:K76)</f>
        <v>9323</v>
      </c>
      <c r="L73" s="58"/>
      <c r="M73" s="170">
        <f>SUM(M74:M76)</f>
        <v>39426</v>
      </c>
      <c r="N73" s="107"/>
      <c r="O73" s="170">
        <f>SUM(O74:O76)</f>
        <v>41397.300000000003</v>
      </c>
      <c r="P73" s="134"/>
    </row>
    <row r="74" spans="2:16" ht="16.5" x14ac:dyDescent="0.35">
      <c r="B74" s="145"/>
      <c r="C74" s="8"/>
      <c r="D74" s="8"/>
      <c r="E74" s="8"/>
      <c r="F74" s="8"/>
      <c r="G74" s="8"/>
      <c r="H74" s="192"/>
      <c r="I74" s="137">
        <f>SUM(K74+M74+O74)</f>
        <v>0</v>
      </c>
      <c r="J74" s="126" t="str">
        <f>"(15)"</f>
        <v>(15)</v>
      </c>
      <c r="K74" s="59">
        <f>SUM(K69*1.2)</f>
        <v>0</v>
      </c>
      <c r="L74" s="126" t="str">
        <f>"(15)"</f>
        <v>(15)</v>
      </c>
      <c r="M74" s="59">
        <f>SUM(M69*1.22)</f>
        <v>0</v>
      </c>
      <c r="N74" s="126" t="str">
        <f>"(15)"</f>
        <v>(15)</v>
      </c>
      <c r="O74" s="59">
        <f>SUM(O69*1.22)</f>
        <v>0</v>
      </c>
      <c r="P74" s="67" t="str">
        <f>"(15)"</f>
        <v>(15)</v>
      </c>
    </row>
    <row r="75" spans="2:16" ht="16.5" x14ac:dyDescent="0.35">
      <c r="B75" s="145"/>
      <c r="C75" s="8"/>
      <c r="D75" s="8"/>
      <c r="E75" s="8"/>
      <c r="F75" s="8"/>
      <c r="G75" s="8"/>
      <c r="H75" s="192"/>
      <c r="I75" s="137">
        <f t="shared" ref="I75:I76" si="22">SUM(K75+M75+O75)</f>
        <v>90146.3</v>
      </c>
      <c r="J75" s="126" t="str">
        <f>"(50)"</f>
        <v>(50)</v>
      </c>
      <c r="K75" s="59">
        <f>K70</f>
        <v>9323</v>
      </c>
      <c r="L75" s="126" t="str">
        <f>"(50)"</f>
        <v>(50)</v>
      </c>
      <c r="M75" s="59">
        <f>M70</f>
        <v>39426</v>
      </c>
      <c r="N75" s="126" t="str">
        <f>"(50)"</f>
        <v>(50)</v>
      </c>
      <c r="O75" s="59">
        <f>O70</f>
        <v>41397.300000000003</v>
      </c>
      <c r="P75" s="67" t="str">
        <f>"(50)"</f>
        <v>(50)</v>
      </c>
    </row>
    <row r="76" spans="2:16" ht="17" thickBot="1" x14ac:dyDescent="0.4">
      <c r="B76" s="160"/>
      <c r="C76" s="161"/>
      <c r="D76" s="161"/>
      <c r="E76" s="161"/>
      <c r="F76" s="161"/>
      <c r="G76" s="161"/>
      <c r="H76" s="193"/>
      <c r="I76" s="137">
        <f t="shared" si="22"/>
        <v>0</v>
      </c>
      <c r="J76" s="126" t="str">
        <f>"(55)"</f>
        <v>(55)</v>
      </c>
      <c r="K76" s="71">
        <f>SUM(K71*1.2)</f>
        <v>0</v>
      </c>
      <c r="L76" s="126" t="str">
        <f>"(55)"</f>
        <v>(55)</v>
      </c>
      <c r="M76" s="71">
        <f>SUM(M71*1.22)</f>
        <v>0</v>
      </c>
      <c r="N76" s="70" t="str">
        <f>"(55)"</f>
        <v>(55)</v>
      </c>
      <c r="O76" s="71">
        <f>SUM(O71*1.22)</f>
        <v>0</v>
      </c>
      <c r="P76" s="72" t="str">
        <f>"(55)"</f>
        <v>(55)</v>
      </c>
    </row>
    <row r="77" spans="2:16" ht="16.5" x14ac:dyDescent="0.35">
      <c r="B77" s="187" t="str">
        <f>'kuni 2025 detsember tegevuskava'!A39&amp;"/"&amp;'kuni 2025 detsember tegevuskava'!C39</f>
        <v>Sotsiaalministeerium/</v>
      </c>
      <c r="C77" s="156" t="str">
        <f>'kuni 2025 detsember tegevuskava'!I39</f>
        <v>kompetentside kasvatamine läbi koolituste, et toetada teenuspõhist juhtimist, protsesse ja digipöörde elluviimist.</v>
      </c>
      <c r="D77" s="156" t="str">
        <f>'kuni 2025 detsember tegevuskava'!J39</f>
        <v>koolituskulud:Teenuste juhid, ärianalüütikud, poliitikakujundajad ja TEHIK teenistujad</v>
      </c>
      <c r="E77" s="156" t="str">
        <f>'kuni 2025 detsember tegevuskava'!K39</f>
        <v>koostatud on lähiaastate koolitusplaan, alustatud on esmaste digipädevusi tõstvate ning teenuspõhist juhtimist toetavates koolitusega. Jagatud on info riigiüleste kesksete koolitusvõimaluste kohta (nt MKM koolitused)</v>
      </c>
      <c r="F77" s="156" t="str">
        <f>'kuni 2025 detsember tegevuskava'!O39&amp;"/"</f>
        <v>SF 21-27 (taotletav raha)/</v>
      </c>
      <c r="G77" s="156" cm="1">
        <f t="array" ref="G77">_xlfn.IFS('kuni 2025 detsember tegevuskava'!G39='kuni 2025 detsember tegevuskava'!$G$77,1,'kuni 2025 detsember tegevuskava'!G39='kuni 2025 detsember tegevuskava'!$G$78,2,'kuni 2025 detsember tegevuskava'!G39='kuni 2025 detsember tegevuskava'!$G$79,3,'kuni 2025 detsember tegevuskava'!G39='kuni 2025 detsember tegevuskava'!$G$80,4)</f>
        <v>3</v>
      </c>
      <c r="H77" s="194" cm="1">
        <f t="array" ref="H77">_xlfn.IFS(OR('kuni 2025 detsember tegevuskava'!O39='kuni 2025 detsember tegevuskava'!$O$77,'kuni 2025 detsember tegevuskava'!O39='kuni 2025 detsember tegevuskava'!$O$79,'kuni 2025 detsember tegevuskava'!O39='kuni 2025 detsember tegevuskava'!$O$80,'kuni 2025 detsember tegevuskava'!O39='kuni 2025 detsember tegevuskava'!$O$81),1,'kuni 2025 detsember tegevuskava'!O39='kuni 2025 detsember tegevuskava'!$O$82,2,'kuni 2025 detsember tegevuskava'!O39='kuni 2025 detsember tegevuskava'!$O$83,2,'kuni 2025 detsember tegevuskava'!O39='kuni 2025 detsember tegevuskava'!$O$78,3)</f>
        <v>2</v>
      </c>
      <c r="I77" s="132">
        <f>SUM(I78:I80)</f>
        <v>140000</v>
      </c>
      <c r="J77" s="133"/>
      <c r="K77" s="81">
        <f>SUM(K78:K80)</f>
        <v>0</v>
      </c>
      <c r="L77" s="175"/>
      <c r="M77" s="81">
        <f>SUM(M78:M80)</f>
        <v>90000</v>
      </c>
      <c r="N77" s="84"/>
      <c r="O77" s="81">
        <f>SUM(O78:O80)</f>
        <v>50000</v>
      </c>
      <c r="P77" s="85"/>
    </row>
    <row r="78" spans="2:16" ht="16.5" x14ac:dyDescent="0.35">
      <c r="B78" s="145"/>
      <c r="C78" s="8"/>
      <c r="D78" s="8"/>
      <c r="E78" s="8"/>
      <c r="F78" s="8"/>
      <c r="G78" s="8"/>
      <c r="H78" s="192"/>
      <c r="I78" s="102">
        <f>SUM(K78+M78+O78)</f>
        <v>0</v>
      </c>
      <c r="J78" s="98" t="str">
        <f>"(15)"</f>
        <v>(15)</v>
      </c>
      <c r="K78" s="86">
        <f>'kuni 2025 detsember tegevuskava'!W39</f>
        <v>0</v>
      </c>
      <c r="L78" s="98" t="str">
        <f>"(15)"</f>
        <v>(15)</v>
      </c>
      <c r="M78" s="86">
        <f>'kuni 2025 detsember tegevuskava'!Z39</f>
        <v>0</v>
      </c>
      <c r="N78" s="98" t="str">
        <f>"(15)"</f>
        <v>(15)</v>
      </c>
      <c r="O78" s="86">
        <f>'kuni 2025 detsember tegevuskava'!AC39</f>
        <v>0</v>
      </c>
      <c r="P78" s="87" t="str">
        <f>"(15)"</f>
        <v>(15)</v>
      </c>
    </row>
    <row r="79" spans="2:16" ht="16.5" x14ac:dyDescent="0.35">
      <c r="B79" s="145"/>
      <c r="C79" s="8"/>
      <c r="D79" s="8"/>
      <c r="E79" s="8"/>
      <c r="F79" s="8"/>
      <c r="G79" s="8"/>
      <c r="H79" s="192"/>
      <c r="I79" s="102">
        <f>SUM(K79+M79+O79)</f>
        <v>0</v>
      </c>
      <c r="J79" s="98" t="str">
        <f>"(50)"</f>
        <v>(50)</v>
      </c>
      <c r="K79" s="86">
        <f>'kuni 2025 detsember tegevuskava'!X39</f>
        <v>0</v>
      </c>
      <c r="L79" s="98" t="str">
        <f>"(50)"</f>
        <v>(50)</v>
      </c>
      <c r="M79" s="86">
        <f>'kuni 2025 detsember tegevuskava'!AA39</f>
        <v>0</v>
      </c>
      <c r="N79" s="98" t="str">
        <f>"(50)"</f>
        <v>(50)</v>
      </c>
      <c r="O79" s="86">
        <f>'kuni 2025 detsember tegevuskava'!AD39</f>
        <v>0</v>
      </c>
      <c r="P79" s="87" t="str">
        <f>"(50)"</f>
        <v>(50)</v>
      </c>
    </row>
    <row r="80" spans="2:16" ht="16.5" x14ac:dyDescent="0.35">
      <c r="B80" s="145"/>
      <c r="C80" s="8"/>
      <c r="D80" s="8"/>
      <c r="E80" s="8"/>
      <c r="F80" s="8"/>
      <c r="G80" s="8"/>
      <c r="H80" s="192"/>
      <c r="I80" s="102">
        <f>SUM(K80+M80+O80)</f>
        <v>140000</v>
      </c>
      <c r="J80" s="88" t="str">
        <f>"(55)"</f>
        <v>(55)</v>
      </c>
      <c r="K80" s="89">
        <f>'kuni 2025 detsember tegevuskava'!Y39</f>
        <v>0</v>
      </c>
      <c r="L80" s="88" t="str">
        <f>"(55)"</f>
        <v>(55)</v>
      </c>
      <c r="M80" s="89">
        <f>'kuni 2025 detsember tegevuskava'!AB39</f>
        <v>90000</v>
      </c>
      <c r="N80" s="88" t="str">
        <f>"(55)"</f>
        <v>(55)</v>
      </c>
      <c r="O80" s="89">
        <f>'kuni 2025 detsember tegevuskava'!AE39</f>
        <v>50000</v>
      </c>
      <c r="P80" s="90" t="str">
        <f>"(55)"</f>
        <v>(55)</v>
      </c>
    </row>
    <row r="81" spans="2:16" ht="16.5" x14ac:dyDescent="0.35">
      <c r="B81" s="145"/>
      <c r="C81" s="8"/>
      <c r="D81" s="8"/>
      <c r="E81" s="8"/>
      <c r="F81" s="8"/>
      <c r="G81" s="8"/>
      <c r="H81" s="192"/>
      <c r="I81" s="180" t="s">
        <v>553</v>
      </c>
      <c r="J81" s="8"/>
      <c r="K81" s="8"/>
      <c r="L81" s="8"/>
      <c r="M81" s="8"/>
      <c r="N81" s="8"/>
      <c r="O81" s="8"/>
      <c r="P81" s="159"/>
    </row>
    <row r="82" spans="2:16" ht="16.5" x14ac:dyDescent="0.35">
      <c r="B82" s="145"/>
      <c r="C82" s="8"/>
      <c r="D82" s="8"/>
      <c r="E82" s="8"/>
      <c r="F82" s="8"/>
      <c r="G82" s="8"/>
      <c r="H82" s="192"/>
      <c r="I82" s="173">
        <f>SUM(I83:I85)</f>
        <v>170800</v>
      </c>
      <c r="J82" s="174"/>
      <c r="K82" s="91">
        <f>SUM(K83:K85)</f>
        <v>0</v>
      </c>
      <c r="L82" s="176"/>
      <c r="M82" s="91">
        <f>SUM(M83:M85)</f>
        <v>109800</v>
      </c>
      <c r="N82" s="107"/>
      <c r="O82" s="173">
        <f>SUM(O83:O85)</f>
        <v>61000</v>
      </c>
      <c r="P82" s="134"/>
    </row>
    <row r="83" spans="2:16" ht="16.5" x14ac:dyDescent="0.35">
      <c r="B83" s="145"/>
      <c r="C83" s="8"/>
      <c r="D83" s="8"/>
      <c r="E83" s="8"/>
      <c r="F83" s="8"/>
      <c r="G83" s="8"/>
      <c r="H83" s="192"/>
      <c r="I83" s="102">
        <f>SUM(K83+M83+O83)</f>
        <v>0</v>
      </c>
      <c r="J83" s="98" t="str">
        <f>"(15)"</f>
        <v>(15)</v>
      </c>
      <c r="K83" s="86">
        <f>SUM(K78*1.2)</f>
        <v>0</v>
      </c>
      <c r="L83" s="98" t="str">
        <f>"(15)"</f>
        <v>(15)</v>
      </c>
      <c r="M83" s="86">
        <f>SUM(M78*1.22)</f>
        <v>0</v>
      </c>
      <c r="N83" s="98" t="str">
        <f>"(15)"</f>
        <v>(15)</v>
      </c>
      <c r="O83" s="86">
        <f>SUM(O78*1.22)</f>
        <v>0</v>
      </c>
      <c r="P83" s="87" t="str">
        <f>"(15)"</f>
        <v>(15)</v>
      </c>
    </row>
    <row r="84" spans="2:16" ht="16.5" x14ac:dyDescent="0.35">
      <c r="B84" s="145"/>
      <c r="C84" s="8"/>
      <c r="D84" s="8"/>
      <c r="E84" s="8"/>
      <c r="F84" s="8"/>
      <c r="G84" s="8"/>
      <c r="H84" s="192"/>
      <c r="I84" s="102">
        <f>SUM(K84+M84+O84)</f>
        <v>0</v>
      </c>
      <c r="J84" s="98" t="str">
        <f>"(50)"</f>
        <v>(50)</v>
      </c>
      <c r="K84" s="86">
        <f>K79</f>
        <v>0</v>
      </c>
      <c r="L84" s="98" t="str">
        <f>"(50)"</f>
        <v>(50)</v>
      </c>
      <c r="M84" s="86">
        <f>M79</f>
        <v>0</v>
      </c>
      <c r="N84" s="98" t="str">
        <f>"(50)"</f>
        <v>(50)</v>
      </c>
      <c r="O84" s="86">
        <f>O79</f>
        <v>0</v>
      </c>
      <c r="P84" s="87" t="str">
        <f>"(50)"</f>
        <v>(50)</v>
      </c>
    </row>
    <row r="85" spans="2:16" ht="17" thickBot="1" x14ac:dyDescent="0.4">
      <c r="B85" s="160"/>
      <c r="C85" s="161"/>
      <c r="D85" s="161"/>
      <c r="E85" s="161"/>
      <c r="F85" s="161"/>
      <c r="G85" s="161"/>
      <c r="H85" s="193"/>
      <c r="I85" s="102">
        <f>SUM(K85+M85+O85)</f>
        <v>170800</v>
      </c>
      <c r="J85" s="94" t="str">
        <f>"(55)"</f>
        <v>(55)</v>
      </c>
      <c r="K85" s="86">
        <f>SUM(K80*1.2)</f>
        <v>0</v>
      </c>
      <c r="L85" s="94" t="str">
        <f>"(55)"</f>
        <v>(55)</v>
      </c>
      <c r="M85" s="86">
        <f>SUM(M80*1.22)</f>
        <v>109800</v>
      </c>
      <c r="N85" s="94" t="str">
        <f>"(55)"</f>
        <v>(55)</v>
      </c>
      <c r="O85" s="95">
        <f>SUM(O80*1.22)</f>
        <v>61000</v>
      </c>
      <c r="P85" s="96" t="str">
        <f>"(55)"</f>
        <v>(55)</v>
      </c>
    </row>
    <row r="86" spans="2:16" ht="16.5" x14ac:dyDescent="0.35">
      <c r="B86" s="187" t="e">
        <f>'kuni 2025 detsember tegevuskava'!#REF!&amp;"/"&amp;'kuni 2025 detsember tegevuskava'!#REF!</f>
        <v>#REF!</v>
      </c>
      <c r="C86" s="156" t="e">
        <f>'kuni 2025 detsember tegevuskava'!#REF!</f>
        <v>#REF!</v>
      </c>
      <c r="D86" s="156" t="e">
        <f>'kuni 2025 detsember tegevuskava'!#REF!</f>
        <v>#REF!</v>
      </c>
      <c r="E86" s="156" t="e">
        <f>'kuni 2025 detsember tegevuskava'!#REF!</f>
        <v>#REF!</v>
      </c>
      <c r="F86" s="156" t="e">
        <f>'kuni 2025 detsember tegevuskava'!#REF!&amp;"/"</f>
        <v>#REF!</v>
      </c>
      <c r="G86" s="156" t="e" cm="1">
        <f t="array" ref="G86">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86" s="194" t="e" cm="1">
        <f t="array" ref="H86">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86" s="132" t="e">
        <f>SUM(I87:I89)</f>
        <v>#REF!</v>
      </c>
      <c r="J86" s="82"/>
      <c r="K86" s="132" t="e">
        <f>SUM(K87:K89)</f>
        <v>#REF!</v>
      </c>
      <c r="L86" s="83"/>
      <c r="M86" s="132" t="e">
        <f>SUM(M87:M89)</f>
        <v>#REF!</v>
      </c>
      <c r="N86" s="84"/>
      <c r="O86" s="81" t="e">
        <f>SUM(O87:O89)</f>
        <v>#REF!</v>
      </c>
      <c r="P86" s="85"/>
    </row>
    <row r="87" spans="2:16" ht="16.5" x14ac:dyDescent="0.35">
      <c r="B87" s="145"/>
      <c r="C87" s="8"/>
      <c r="D87" s="8"/>
      <c r="E87" s="8"/>
      <c r="F87" s="8"/>
      <c r="G87" s="8"/>
      <c r="H87" s="192"/>
      <c r="I87" s="102" t="e">
        <f>SUM(K87+M87+O87)</f>
        <v>#REF!</v>
      </c>
      <c r="J87" s="98" t="str">
        <f>"(15)"</f>
        <v>(15)</v>
      </c>
      <c r="K87" s="86" t="e">
        <f>'kuni 2025 detsember tegevuskava'!#REF!</f>
        <v>#REF!</v>
      </c>
      <c r="L87" s="98" t="str">
        <f>"(15)"</f>
        <v>(15)</v>
      </c>
      <c r="M87" s="86" t="e">
        <f>'kuni 2025 detsember tegevuskava'!#REF!</f>
        <v>#REF!</v>
      </c>
      <c r="N87" s="98" t="str">
        <f>"(15)"</f>
        <v>(15)</v>
      </c>
      <c r="O87" s="86" t="e">
        <f>'kuni 2025 detsember tegevuskava'!#REF!</f>
        <v>#REF!</v>
      </c>
      <c r="P87" s="87" t="str">
        <f>"(15)"</f>
        <v>(15)</v>
      </c>
    </row>
    <row r="88" spans="2:16" ht="16.5" x14ac:dyDescent="0.35">
      <c r="B88" s="145"/>
      <c r="C88" s="8"/>
      <c r="D88" s="8"/>
      <c r="E88" s="8"/>
      <c r="F88" s="8"/>
      <c r="G88" s="8"/>
      <c r="H88" s="192"/>
      <c r="I88" s="102" t="e">
        <f>SUM(K88+M88+O88)</f>
        <v>#REF!</v>
      </c>
      <c r="J88" s="98" t="str">
        <f>"(50)"</f>
        <v>(50)</v>
      </c>
      <c r="K88" s="86" t="e">
        <f>'kuni 2025 detsember tegevuskava'!#REF!</f>
        <v>#REF!</v>
      </c>
      <c r="L88" s="98" t="str">
        <f>"(50)"</f>
        <v>(50)</v>
      </c>
      <c r="M88" s="86" t="e">
        <f>'kuni 2025 detsember tegevuskava'!#REF!</f>
        <v>#REF!</v>
      </c>
      <c r="N88" s="98" t="str">
        <f>"(50)"</f>
        <v>(50)</v>
      </c>
      <c r="O88" s="86" t="e">
        <f>'kuni 2025 detsember tegevuskava'!#REF!</f>
        <v>#REF!</v>
      </c>
      <c r="P88" s="87" t="str">
        <f>"(50)"</f>
        <v>(50)</v>
      </c>
    </row>
    <row r="89" spans="2:16" ht="16.5" x14ac:dyDescent="0.35">
      <c r="B89" s="145"/>
      <c r="C89" s="8"/>
      <c r="D89" s="8"/>
      <c r="E89" s="8"/>
      <c r="F89" s="8"/>
      <c r="G89" s="8"/>
      <c r="H89" s="192"/>
      <c r="I89" s="102" t="e">
        <f>SUM(K89+M89+O89)</f>
        <v>#REF!</v>
      </c>
      <c r="J89" s="88" t="str">
        <f>"(55)"</f>
        <v>(55)</v>
      </c>
      <c r="K89" s="89" t="e">
        <f>'kuni 2025 detsember tegevuskava'!#REF!</f>
        <v>#REF!</v>
      </c>
      <c r="L89" s="88" t="str">
        <f>"(55)"</f>
        <v>(55)</v>
      </c>
      <c r="M89" s="89" t="e">
        <f>'kuni 2025 detsember tegevuskava'!#REF!</f>
        <v>#REF!</v>
      </c>
      <c r="N89" s="88" t="str">
        <f>"(55)"</f>
        <v>(55)</v>
      </c>
      <c r="O89" s="89" t="e">
        <f>'kuni 2025 detsember tegevuskava'!#REF!</f>
        <v>#REF!</v>
      </c>
      <c r="P89" s="90" t="str">
        <f>"(55)"</f>
        <v>(55)</v>
      </c>
    </row>
    <row r="90" spans="2:16" ht="16.5" x14ac:dyDescent="0.35">
      <c r="B90" s="145"/>
      <c r="C90" s="8"/>
      <c r="D90" s="8"/>
      <c r="E90" s="8"/>
      <c r="F90" s="8"/>
      <c r="G90" s="8"/>
      <c r="H90" s="192"/>
      <c r="I90" s="181" t="s">
        <v>553</v>
      </c>
      <c r="J90" s="8"/>
      <c r="K90" s="8"/>
      <c r="L90" s="8"/>
      <c r="M90" s="8"/>
      <c r="N90" s="8"/>
      <c r="O90" s="8"/>
      <c r="P90" s="159"/>
    </row>
    <row r="91" spans="2:16" ht="16.5" x14ac:dyDescent="0.35">
      <c r="B91" s="145"/>
      <c r="C91" s="8"/>
      <c r="D91" s="8"/>
      <c r="E91" s="8"/>
      <c r="F91" s="8"/>
      <c r="G91" s="8"/>
      <c r="H91" s="192"/>
      <c r="I91" s="179" t="e">
        <f>SUM(I92:I94)</f>
        <v>#REF!</v>
      </c>
      <c r="J91" s="174"/>
      <c r="K91" s="91" t="e">
        <f>SUM(K92:K94)</f>
        <v>#REF!</v>
      </c>
      <c r="L91" s="92"/>
      <c r="M91" s="173" t="e">
        <f>SUM(M92:M94)</f>
        <v>#REF!</v>
      </c>
      <c r="N91" s="107"/>
      <c r="O91" s="173" t="e">
        <f>SUM(O92:O94)</f>
        <v>#REF!</v>
      </c>
      <c r="P91" s="134"/>
    </row>
    <row r="92" spans="2:16" ht="16.5" x14ac:dyDescent="0.35">
      <c r="B92" s="145"/>
      <c r="C92" s="8"/>
      <c r="D92" s="8"/>
      <c r="E92" s="8"/>
      <c r="F92" s="8"/>
      <c r="G92" s="8"/>
      <c r="H92" s="192"/>
      <c r="I92" s="102" t="e">
        <f>SUM(K92+M92+O92)</f>
        <v>#REF!</v>
      </c>
      <c r="J92" s="98" t="str">
        <f>"(15)"</f>
        <v>(15)</v>
      </c>
      <c r="K92" s="86" t="e">
        <f>SUM(K87*1.2)</f>
        <v>#REF!</v>
      </c>
      <c r="L92" s="98" t="str">
        <f>"(15)"</f>
        <v>(15)</v>
      </c>
      <c r="M92" s="86" t="e">
        <f>SUM(M87*1.22)</f>
        <v>#REF!</v>
      </c>
      <c r="N92" s="98" t="str">
        <f>"(15)"</f>
        <v>(15)</v>
      </c>
      <c r="O92" s="86" t="e">
        <f>SUM(O87*1.22)</f>
        <v>#REF!</v>
      </c>
      <c r="P92" s="87" t="str">
        <f>"(15)"</f>
        <v>(15)</v>
      </c>
    </row>
    <row r="93" spans="2:16" ht="16.5" x14ac:dyDescent="0.35">
      <c r="B93" s="145"/>
      <c r="C93" s="8"/>
      <c r="D93" s="8"/>
      <c r="E93" s="8"/>
      <c r="F93" s="8"/>
      <c r="G93" s="8"/>
      <c r="H93" s="192"/>
      <c r="I93" s="102" t="e">
        <f>SUM(K93+M93+O93)</f>
        <v>#REF!</v>
      </c>
      <c r="J93" s="98" t="str">
        <f>"(50)"</f>
        <v>(50)</v>
      </c>
      <c r="K93" s="86" t="e">
        <f>K88</f>
        <v>#REF!</v>
      </c>
      <c r="L93" s="98" t="str">
        <f>"(50)"</f>
        <v>(50)</v>
      </c>
      <c r="M93" s="86" t="e">
        <f>M88</f>
        <v>#REF!</v>
      </c>
      <c r="N93" s="98" t="str">
        <f>"(50)"</f>
        <v>(50)</v>
      </c>
      <c r="O93" s="86" t="e">
        <f>O88</f>
        <v>#REF!</v>
      </c>
      <c r="P93" s="87" t="str">
        <f>"(50)"</f>
        <v>(50)</v>
      </c>
    </row>
    <row r="94" spans="2:16" ht="17" thickBot="1" x14ac:dyDescent="0.4">
      <c r="B94" s="160"/>
      <c r="C94" s="161"/>
      <c r="D94" s="161"/>
      <c r="E94" s="161"/>
      <c r="F94" s="161"/>
      <c r="G94" s="161"/>
      <c r="H94" s="193"/>
      <c r="I94" s="102" t="e">
        <f>SUM(K94+M94+O94)</f>
        <v>#REF!</v>
      </c>
      <c r="J94" s="94" t="str">
        <f>"(55)"</f>
        <v>(55)</v>
      </c>
      <c r="K94" s="86" t="e">
        <f>SUM(K89*1.2)</f>
        <v>#REF!</v>
      </c>
      <c r="L94" s="94" t="str">
        <f>"(55)"</f>
        <v>(55)</v>
      </c>
      <c r="M94" s="86" t="e">
        <f>SUM(M89*1.22)</f>
        <v>#REF!</v>
      </c>
      <c r="N94" s="94" t="str">
        <f>"(55)"</f>
        <v>(55)</v>
      </c>
      <c r="O94" s="95" t="e">
        <f>SUM(O89*1.22)</f>
        <v>#REF!</v>
      </c>
      <c r="P94" s="96" t="str">
        <f>"(55)"</f>
        <v>(55)</v>
      </c>
    </row>
    <row r="95" spans="2:16" ht="16.5" x14ac:dyDescent="0.35">
      <c r="B95" s="187" t="e">
        <f>'kuni 2025 detsember tegevuskava'!#REF!&amp;"/"&amp;'kuni 2025 detsember tegevuskava'!#REF!</f>
        <v>#REF!</v>
      </c>
      <c r="C95" s="156" t="e">
        <f>'kuni 2025 detsember tegevuskava'!#REF!</f>
        <v>#REF!</v>
      </c>
      <c r="D95" s="156" t="e">
        <f>'kuni 2025 detsember tegevuskava'!#REF!</f>
        <v>#REF!</v>
      </c>
      <c r="E95" s="156" t="e">
        <f>'kuni 2025 detsember tegevuskava'!#REF!</f>
        <v>#REF!</v>
      </c>
      <c r="F95" s="156" t="e">
        <f>'kuni 2025 detsember tegevuskava'!#REF!&amp;"/"</f>
        <v>#REF!</v>
      </c>
      <c r="G95" s="156" t="e" cm="1">
        <f t="array" ref="G95">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95" s="194" t="e" cm="1">
        <f t="array" ref="H95">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95" s="132" t="e">
        <f>SUM(I96:I98)</f>
        <v>#REF!</v>
      </c>
      <c r="J95" s="82"/>
      <c r="K95" s="132" t="e">
        <f>SUM(K96:K98)</f>
        <v>#REF!</v>
      </c>
      <c r="L95" s="83"/>
      <c r="M95" s="132" t="e">
        <f>SUM(M96:M98)</f>
        <v>#REF!</v>
      </c>
      <c r="N95" s="84"/>
      <c r="O95" s="81" t="e">
        <f>SUM(O96:O98)</f>
        <v>#REF!</v>
      </c>
      <c r="P95" s="85"/>
    </row>
    <row r="96" spans="2:16" ht="16.5" x14ac:dyDescent="0.35">
      <c r="B96" s="145"/>
      <c r="C96" s="8"/>
      <c r="D96" s="8"/>
      <c r="E96" s="8"/>
      <c r="F96" s="8"/>
      <c r="G96" s="8"/>
      <c r="H96" s="192"/>
      <c r="I96" s="102" t="e">
        <f>SUM(K96+M96+O96)</f>
        <v>#REF!</v>
      </c>
      <c r="J96" s="98" t="str">
        <f>"(15)"</f>
        <v>(15)</v>
      </c>
      <c r="K96" s="86" t="e">
        <f>'kuni 2025 detsember tegevuskava'!#REF!</f>
        <v>#REF!</v>
      </c>
      <c r="L96" s="98" t="str">
        <f>"(15)"</f>
        <v>(15)</v>
      </c>
      <c r="M96" s="86" t="e">
        <f>'kuni 2025 detsember tegevuskava'!#REF!</f>
        <v>#REF!</v>
      </c>
      <c r="N96" s="98" t="str">
        <f>"(15)"</f>
        <v>(15)</v>
      </c>
      <c r="O96" s="86" t="e">
        <f>'kuni 2025 detsember tegevuskava'!#REF!</f>
        <v>#REF!</v>
      </c>
      <c r="P96" s="87" t="str">
        <f>"(15)"</f>
        <v>(15)</v>
      </c>
    </row>
    <row r="97" spans="2:16" ht="16.5" x14ac:dyDescent="0.35">
      <c r="B97" s="145"/>
      <c r="C97" s="8"/>
      <c r="D97" s="8"/>
      <c r="E97" s="8"/>
      <c r="F97" s="8"/>
      <c r="G97" s="8"/>
      <c r="H97" s="192"/>
      <c r="I97" s="102" t="e">
        <f>SUM(K97+M97+O97)</f>
        <v>#REF!</v>
      </c>
      <c r="J97" s="98" t="str">
        <f>"(50)"</f>
        <v>(50)</v>
      </c>
      <c r="K97" s="86" t="e">
        <f>'kuni 2025 detsember tegevuskava'!#REF!</f>
        <v>#REF!</v>
      </c>
      <c r="L97" s="98" t="str">
        <f>"(50)"</f>
        <v>(50)</v>
      </c>
      <c r="M97" s="86" t="e">
        <f>'kuni 2025 detsember tegevuskava'!#REF!</f>
        <v>#REF!</v>
      </c>
      <c r="N97" s="98" t="str">
        <f>"(50)"</f>
        <v>(50)</v>
      </c>
      <c r="O97" s="86" t="e">
        <f>'kuni 2025 detsember tegevuskava'!#REF!</f>
        <v>#REF!</v>
      </c>
      <c r="P97" s="87" t="str">
        <f>"(50)"</f>
        <v>(50)</v>
      </c>
    </row>
    <row r="98" spans="2:16" ht="16.5" x14ac:dyDescent="0.35">
      <c r="B98" s="145"/>
      <c r="C98" s="8"/>
      <c r="D98" s="8"/>
      <c r="E98" s="8"/>
      <c r="F98" s="8"/>
      <c r="G98" s="8"/>
      <c r="H98" s="192"/>
      <c r="I98" s="104" t="e">
        <f>SUM(K98+M98+O98)</f>
        <v>#REF!</v>
      </c>
      <c r="J98" s="88" t="str">
        <f>"(55)"</f>
        <v>(55)</v>
      </c>
      <c r="K98" s="89" t="e">
        <f>'kuni 2025 detsember tegevuskava'!#REF!</f>
        <v>#REF!</v>
      </c>
      <c r="L98" s="88" t="str">
        <f>"(55)"</f>
        <v>(55)</v>
      </c>
      <c r="M98" s="89" t="e">
        <f>'kuni 2025 detsember tegevuskava'!#REF!</f>
        <v>#REF!</v>
      </c>
      <c r="N98" s="88" t="str">
        <f>"(55)"</f>
        <v>(55)</v>
      </c>
      <c r="O98" s="89" t="e">
        <f>'kuni 2025 detsember tegevuskava'!#REF!</f>
        <v>#REF!</v>
      </c>
      <c r="P98" s="90" t="str">
        <f>"(55)"</f>
        <v>(55)</v>
      </c>
    </row>
    <row r="99" spans="2:16" ht="16.5" x14ac:dyDescent="0.35">
      <c r="B99" s="145"/>
      <c r="C99" s="8"/>
      <c r="D99" s="8"/>
      <c r="E99" s="8"/>
      <c r="F99" s="8"/>
      <c r="G99" s="8"/>
      <c r="H99" s="192"/>
      <c r="I99" s="152" t="s">
        <v>553</v>
      </c>
      <c r="J99" s="8"/>
      <c r="K99" s="8"/>
      <c r="L99" s="8"/>
      <c r="M99" s="8"/>
      <c r="N99" s="8"/>
      <c r="O99" s="8"/>
      <c r="P99" s="159"/>
    </row>
    <row r="100" spans="2:16" ht="16.5" x14ac:dyDescent="0.35">
      <c r="B100" s="145"/>
      <c r="C100" s="8"/>
      <c r="D100" s="8"/>
      <c r="E100" s="8"/>
      <c r="F100" s="8"/>
      <c r="G100" s="8"/>
      <c r="H100" s="192"/>
      <c r="I100" s="179" t="e">
        <f>SUM(I101:I103)</f>
        <v>#REF!</v>
      </c>
      <c r="J100" s="108"/>
      <c r="K100" s="100" t="e">
        <f>SUM(K101:K103)</f>
        <v>#REF!</v>
      </c>
      <c r="L100" s="109"/>
      <c r="M100" s="91" t="e">
        <f>SUM(M101:M103)</f>
        <v>#REF!</v>
      </c>
      <c r="N100" s="107"/>
      <c r="O100" s="173" t="e">
        <f>SUM(O101:O103)</f>
        <v>#REF!</v>
      </c>
      <c r="P100" s="134"/>
    </row>
    <row r="101" spans="2:16" ht="16.5" x14ac:dyDescent="0.35">
      <c r="B101" s="145"/>
      <c r="C101" s="8"/>
      <c r="D101" s="8"/>
      <c r="E101" s="8"/>
      <c r="F101" s="8"/>
      <c r="G101" s="8"/>
      <c r="H101" s="192"/>
      <c r="I101" s="102" t="e">
        <f>SUM(K101+M101+O101)</f>
        <v>#REF!</v>
      </c>
      <c r="J101" s="98" t="str">
        <f>"(15)"</f>
        <v>(15)</v>
      </c>
      <c r="K101" s="102" t="e">
        <f>SUM(K96*1.2)</f>
        <v>#REF!</v>
      </c>
      <c r="L101" s="103" t="str">
        <f>"(15)"</f>
        <v>(15)</v>
      </c>
      <c r="M101" s="97" t="e">
        <f>SUM(M96*1.22)</f>
        <v>#REF!</v>
      </c>
      <c r="N101" s="98" t="str">
        <f>"(15)"</f>
        <v>(15)</v>
      </c>
      <c r="O101" s="86" t="e">
        <f>SUM(O96*1.22)</f>
        <v>#REF!</v>
      </c>
      <c r="P101" s="87" t="str">
        <f>"(15)"</f>
        <v>(15)</v>
      </c>
    </row>
    <row r="102" spans="2:16" ht="16.5" x14ac:dyDescent="0.35">
      <c r="B102" s="145"/>
      <c r="C102" s="8"/>
      <c r="D102" s="8"/>
      <c r="E102" s="8"/>
      <c r="F102" s="8"/>
      <c r="G102" s="8"/>
      <c r="H102" s="192"/>
      <c r="I102" s="102" t="e">
        <f>SUM(K102+M102+O102)</f>
        <v>#REF!</v>
      </c>
      <c r="J102" s="98" t="str">
        <f>"(50)"</f>
        <v>(50)</v>
      </c>
      <c r="K102" s="102" t="e">
        <f>K97</f>
        <v>#REF!</v>
      </c>
      <c r="L102" s="103" t="str">
        <f>"(50)"</f>
        <v>(50)</v>
      </c>
      <c r="M102" s="97" t="e">
        <f>M97</f>
        <v>#REF!</v>
      </c>
      <c r="N102" s="98" t="str">
        <f>"(50)"</f>
        <v>(50)</v>
      </c>
      <c r="O102" s="86" t="e">
        <f>O97</f>
        <v>#REF!</v>
      </c>
      <c r="P102" s="87" t="str">
        <f>"(50)"</f>
        <v>(50)</v>
      </c>
    </row>
    <row r="103" spans="2:16" ht="17" thickBot="1" x14ac:dyDescent="0.4">
      <c r="B103" s="160"/>
      <c r="C103" s="161"/>
      <c r="D103" s="161"/>
      <c r="E103" s="161"/>
      <c r="F103" s="161"/>
      <c r="G103" s="161"/>
      <c r="H103" s="193"/>
      <c r="I103" s="130" t="e">
        <f>SUM(K103+M103+O103)</f>
        <v>#REF!</v>
      </c>
      <c r="J103" s="94" t="str">
        <f>"(55)"</f>
        <v>(55)</v>
      </c>
      <c r="K103" s="130" t="e">
        <f>SUM(K98*1.2)</f>
        <v>#REF!</v>
      </c>
      <c r="L103" s="131" t="str">
        <f>"(55)"</f>
        <v>(55)</v>
      </c>
      <c r="M103" s="93" t="e">
        <f>SUM(M98*1.22)</f>
        <v>#REF!</v>
      </c>
      <c r="N103" s="94" t="str">
        <f>"(55)"</f>
        <v>(55)</v>
      </c>
      <c r="O103" s="95" t="e">
        <f>SUM(O98*1.22)</f>
        <v>#REF!</v>
      </c>
      <c r="P103" s="96" t="str">
        <f>"(55)"</f>
        <v>(55)</v>
      </c>
    </row>
    <row r="104" spans="2:16" ht="16.5" x14ac:dyDescent="0.35">
      <c r="B104" s="187" t="e">
        <f>'kuni 2025 detsember tegevuskava'!#REF!&amp;"/"&amp;'kuni 2025 detsember tegevuskava'!#REF!</f>
        <v>#REF!</v>
      </c>
      <c r="C104" s="156" t="e">
        <f>'kuni 2025 detsember tegevuskava'!#REF!</f>
        <v>#REF!</v>
      </c>
      <c r="D104" s="156" t="e">
        <f>'kuni 2025 detsember tegevuskava'!#REF!</f>
        <v>#REF!</v>
      </c>
      <c r="E104" s="156" t="e">
        <f>'kuni 2025 detsember tegevuskava'!#REF!</f>
        <v>#REF!</v>
      </c>
      <c r="F104" s="156" t="e">
        <f>'kuni 2025 detsember tegevuskava'!#REF!&amp;"/"</f>
        <v>#REF!</v>
      </c>
      <c r="G104" s="156" t="e" cm="1">
        <f t="array" ref="G104">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04" s="194" t="e" cm="1">
        <f t="array" ref="H104">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04" s="132" t="e">
        <f>SUM(I105:I107)</f>
        <v>#REF!</v>
      </c>
      <c r="J104" s="133"/>
      <c r="K104" s="81" t="e">
        <f>SUM(K105:K107)</f>
        <v>#REF!</v>
      </c>
      <c r="L104" s="83"/>
      <c r="M104" s="132" t="e">
        <f>SUM(M105:M107)</f>
        <v>#REF!</v>
      </c>
      <c r="N104" s="133"/>
      <c r="O104" s="81" t="e">
        <f>SUM(O105:O107)</f>
        <v>#REF!</v>
      </c>
      <c r="P104" s="85"/>
    </row>
    <row r="105" spans="2:16" ht="16.5" x14ac:dyDescent="0.35">
      <c r="B105" s="145"/>
      <c r="C105" s="8"/>
      <c r="D105" s="8"/>
      <c r="E105" s="8"/>
      <c r="F105" s="8"/>
      <c r="G105" s="8"/>
      <c r="H105" s="192"/>
      <c r="I105" s="102" t="e">
        <f>SUM(K105+M105+O105)</f>
        <v>#REF!</v>
      </c>
      <c r="J105" s="103" t="str">
        <f>"(15)"</f>
        <v>(15)</v>
      </c>
      <c r="K105" s="97" t="e">
        <f>'kuni 2025 detsember tegevuskava'!#REF!</f>
        <v>#REF!</v>
      </c>
      <c r="L105" s="98" t="str">
        <f>"(15)"</f>
        <v>(15)</v>
      </c>
      <c r="M105" s="102" t="e">
        <f>'kuni 2025 detsember tegevuskava'!#REF!</f>
        <v>#REF!</v>
      </c>
      <c r="N105" s="103" t="str">
        <f>"(15)"</f>
        <v>(15)</v>
      </c>
      <c r="O105" s="97" t="e">
        <f>'kuni 2025 detsember tegevuskava'!#REF!</f>
        <v>#REF!</v>
      </c>
      <c r="P105" s="87" t="str">
        <f>"(15)"</f>
        <v>(15)</v>
      </c>
    </row>
    <row r="106" spans="2:16" ht="16.5" x14ac:dyDescent="0.35">
      <c r="B106" s="145"/>
      <c r="C106" s="8"/>
      <c r="D106" s="8"/>
      <c r="E106" s="8"/>
      <c r="F106" s="8"/>
      <c r="G106" s="8"/>
      <c r="H106" s="192"/>
      <c r="I106" s="102" t="e">
        <f>SUM(K106+M106+O106)</f>
        <v>#REF!</v>
      </c>
      <c r="J106" s="103" t="str">
        <f>"(50)"</f>
        <v>(50)</v>
      </c>
      <c r="K106" s="97" t="e">
        <f>'kuni 2025 detsember tegevuskava'!#REF!</f>
        <v>#REF!</v>
      </c>
      <c r="L106" s="98" t="str">
        <f>"(50)"</f>
        <v>(50)</v>
      </c>
      <c r="M106" s="102" t="e">
        <f>'kuni 2025 detsember tegevuskava'!#REF!</f>
        <v>#REF!</v>
      </c>
      <c r="N106" s="103" t="str">
        <f>"(50)"</f>
        <v>(50)</v>
      </c>
      <c r="O106" s="97" t="e">
        <f>'kuni 2025 detsember tegevuskava'!#REF!</f>
        <v>#REF!</v>
      </c>
      <c r="P106" s="87" t="str">
        <f>"(50)"</f>
        <v>(50)</v>
      </c>
    </row>
    <row r="107" spans="2:16" ht="16.5" x14ac:dyDescent="0.35">
      <c r="B107" s="145"/>
      <c r="C107" s="8"/>
      <c r="D107" s="8"/>
      <c r="E107" s="8"/>
      <c r="F107" s="8"/>
      <c r="G107" s="8"/>
      <c r="H107" s="192"/>
      <c r="I107" s="104" t="e">
        <f>SUM(K107+M107+O107)</f>
        <v>#REF!</v>
      </c>
      <c r="J107" s="105" t="str">
        <f>"(55)"</f>
        <v>(55)</v>
      </c>
      <c r="K107" s="99" t="e">
        <f>'kuni 2025 detsember tegevuskava'!#REF!</f>
        <v>#REF!</v>
      </c>
      <c r="L107" s="88" t="str">
        <f>"(55)"</f>
        <v>(55)</v>
      </c>
      <c r="M107" s="104" t="e">
        <f>'kuni 2025 detsember tegevuskava'!#REF!</f>
        <v>#REF!</v>
      </c>
      <c r="N107" s="105" t="str">
        <f>"(55)"</f>
        <v>(55)</v>
      </c>
      <c r="O107" s="99" t="e">
        <f>'kuni 2025 detsember tegevuskava'!#REF!</f>
        <v>#REF!</v>
      </c>
      <c r="P107" s="90" t="str">
        <f>"(55)"</f>
        <v>(55)</v>
      </c>
    </row>
    <row r="108" spans="2:16" ht="16.5" x14ac:dyDescent="0.35">
      <c r="B108" s="145"/>
      <c r="C108" s="8"/>
      <c r="D108" s="8"/>
      <c r="E108" s="8"/>
      <c r="F108" s="8"/>
      <c r="G108" s="8"/>
      <c r="H108" s="192"/>
      <c r="I108" s="136" t="s">
        <v>553</v>
      </c>
      <c r="J108" s="8"/>
      <c r="K108" s="8"/>
      <c r="L108" s="8"/>
      <c r="M108" s="8"/>
      <c r="N108" s="8"/>
      <c r="O108" s="8"/>
      <c r="P108" s="159"/>
    </row>
    <row r="109" spans="2:16" ht="16.5" x14ac:dyDescent="0.35">
      <c r="B109" s="145"/>
      <c r="C109" s="8"/>
      <c r="D109" s="8"/>
      <c r="E109" s="8"/>
      <c r="F109" s="8"/>
      <c r="G109" s="8"/>
      <c r="H109" s="192"/>
      <c r="I109" s="100" t="e">
        <f>SUM(I110:I112)</f>
        <v>#REF!</v>
      </c>
      <c r="J109" s="101"/>
      <c r="K109" s="91" t="e">
        <f>SUM(K110:K112)</f>
        <v>#REF!</v>
      </c>
      <c r="L109" s="92"/>
      <c r="M109" s="100" t="e">
        <f>SUM(M110:M112)</f>
        <v>#REF!</v>
      </c>
      <c r="N109" s="107"/>
      <c r="O109" s="100" t="e">
        <f>SUM(O110:O112)</f>
        <v>#REF!</v>
      </c>
      <c r="P109" s="134"/>
    </row>
    <row r="110" spans="2:16" ht="16.5" x14ac:dyDescent="0.35">
      <c r="B110" s="145"/>
      <c r="C110" s="8"/>
      <c r="D110" s="8"/>
      <c r="E110" s="8"/>
      <c r="F110" s="8"/>
      <c r="G110" s="8"/>
      <c r="H110" s="192"/>
      <c r="I110" s="102" t="e">
        <f>SUM(K110+M110+O110)</f>
        <v>#REF!</v>
      </c>
      <c r="J110" s="103" t="str">
        <f>"(15)"</f>
        <v>(15)</v>
      </c>
      <c r="K110" s="97" t="e">
        <f>SUM(K105*1.2)</f>
        <v>#REF!</v>
      </c>
      <c r="L110" s="98" t="str">
        <f>"(15)"</f>
        <v>(15)</v>
      </c>
      <c r="M110" s="102" t="e">
        <f>SUM(M105*1.22)</f>
        <v>#REF!</v>
      </c>
      <c r="N110" s="98" t="str">
        <f>"(15)"</f>
        <v>(15)</v>
      </c>
      <c r="O110" s="102" t="e">
        <f>SUM(O105*1.22)</f>
        <v>#REF!</v>
      </c>
      <c r="P110" s="87" t="str">
        <f>"(15)"</f>
        <v>(15)</v>
      </c>
    </row>
    <row r="111" spans="2:16" ht="16.5" x14ac:dyDescent="0.35">
      <c r="B111" s="145"/>
      <c r="C111" s="8"/>
      <c r="D111" s="8"/>
      <c r="E111" s="8"/>
      <c r="F111" s="8"/>
      <c r="G111" s="8"/>
      <c r="H111" s="192"/>
      <c r="I111" s="102" t="e">
        <f>SUM(K111+M111+O111)</f>
        <v>#REF!</v>
      </c>
      <c r="J111" s="103" t="str">
        <f>"(50)"</f>
        <v>(50)</v>
      </c>
      <c r="K111" s="97" t="e">
        <f>K106</f>
        <v>#REF!</v>
      </c>
      <c r="L111" s="98" t="str">
        <f>"(50)"</f>
        <v>(50)</v>
      </c>
      <c r="M111" s="102" t="e">
        <f>M106</f>
        <v>#REF!</v>
      </c>
      <c r="N111" s="98" t="str">
        <f>"(50)"</f>
        <v>(50)</v>
      </c>
      <c r="O111" s="102" t="e">
        <f>O106</f>
        <v>#REF!</v>
      </c>
      <c r="P111" s="87" t="str">
        <f>"(50)"</f>
        <v>(50)</v>
      </c>
    </row>
    <row r="112" spans="2:16" ht="17" thickBot="1" x14ac:dyDescent="0.4">
      <c r="B112" s="160"/>
      <c r="C112" s="161"/>
      <c r="D112" s="161"/>
      <c r="E112" s="161"/>
      <c r="F112" s="161"/>
      <c r="G112" s="161"/>
      <c r="H112" s="193"/>
      <c r="I112" s="130" t="e">
        <f>SUM(K112+M112+O112)</f>
        <v>#REF!</v>
      </c>
      <c r="J112" s="131" t="str">
        <f>"(55)"</f>
        <v>(55)</v>
      </c>
      <c r="K112" s="93" t="e">
        <f>SUM(K107*1.2)</f>
        <v>#REF!</v>
      </c>
      <c r="L112" s="94" t="str">
        <f>"(55)"</f>
        <v>(55)</v>
      </c>
      <c r="M112" s="130" t="e">
        <f>SUM(M107*1.22)</f>
        <v>#REF!</v>
      </c>
      <c r="N112" s="94" t="str">
        <f>"(55)"</f>
        <v>(55)</v>
      </c>
      <c r="O112" s="130" t="e">
        <f>SUM(O107*1.22)</f>
        <v>#REF!</v>
      </c>
      <c r="P112" s="96" t="str">
        <f>"(55)"</f>
        <v>(55)</v>
      </c>
    </row>
    <row r="113" spans="2:16" ht="16.5" x14ac:dyDescent="0.35">
      <c r="B113" s="187" t="e">
        <f>'kuni 2025 detsember tegevuskava'!#REF!&amp;"/"&amp;'kuni 2025 detsember tegevuskava'!#REF!</f>
        <v>#REF!</v>
      </c>
      <c r="C113" s="156" t="e">
        <f>'kuni 2025 detsember tegevuskava'!#REF!</f>
        <v>#REF!</v>
      </c>
      <c r="D113" s="156" t="e">
        <f>'kuni 2025 detsember tegevuskava'!#REF!</f>
        <v>#REF!</v>
      </c>
      <c r="E113" s="156" t="e">
        <f>'kuni 2025 detsember tegevuskava'!#REF!</f>
        <v>#REF!</v>
      </c>
      <c r="F113" s="156" t="e">
        <f>'kuni 2025 detsember tegevuskava'!#REF!&amp;"/"</f>
        <v>#REF!</v>
      </c>
      <c r="G113" s="156" t="e" cm="1">
        <f t="array" ref="G113">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13" s="194" t="e" cm="1">
        <f t="array" ref="H113">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13" s="132" t="e">
        <f>SUM(I114:I116)</f>
        <v>#REF!</v>
      </c>
      <c r="J113" s="133"/>
      <c r="K113" s="81" t="e">
        <f>SUM(K114:K116)</f>
        <v>#REF!</v>
      </c>
      <c r="L113" s="83"/>
      <c r="M113" s="132" t="e">
        <f>SUM(M114:M116)</f>
        <v>#REF!</v>
      </c>
      <c r="N113" s="133"/>
      <c r="O113" s="81" t="e">
        <f>SUM(O114:O116)</f>
        <v>#REF!</v>
      </c>
      <c r="P113" s="85"/>
    </row>
    <row r="114" spans="2:16" ht="16.5" x14ac:dyDescent="0.35">
      <c r="B114" s="145"/>
      <c r="C114" s="8"/>
      <c r="D114" s="8"/>
      <c r="E114" s="8"/>
      <c r="F114" s="8"/>
      <c r="G114" s="8"/>
      <c r="H114" s="192"/>
      <c r="I114" s="102" t="e">
        <f>SUM(K114+M114+O114)</f>
        <v>#REF!</v>
      </c>
      <c r="J114" s="103" t="str">
        <f>"(15)"</f>
        <v>(15)</v>
      </c>
      <c r="K114" s="102" t="e">
        <f>'kuni 2025 detsember tegevuskava'!#REF!</f>
        <v>#REF!</v>
      </c>
      <c r="L114" s="98" t="str">
        <f>"(15)"</f>
        <v>(15)</v>
      </c>
      <c r="M114" s="102" t="e">
        <f>'kuni 2025 detsember tegevuskava'!#REF!</f>
        <v>#REF!</v>
      </c>
      <c r="N114" s="103" t="str">
        <f>"(15)"</f>
        <v>(15)</v>
      </c>
      <c r="O114" s="97" t="e">
        <f>'kuni 2025 detsember tegevuskava'!#REF!</f>
        <v>#REF!</v>
      </c>
      <c r="P114" s="87" t="str">
        <f>"(15)"</f>
        <v>(15)</v>
      </c>
    </row>
    <row r="115" spans="2:16" ht="16.5" x14ac:dyDescent="0.35">
      <c r="B115" s="145"/>
      <c r="C115" s="8"/>
      <c r="D115" s="8"/>
      <c r="E115" s="8"/>
      <c r="F115" s="8"/>
      <c r="G115" s="8"/>
      <c r="H115" s="192"/>
      <c r="I115" s="102" t="e">
        <f>SUM(K115+M115+O115)</f>
        <v>#REF!</v>
      </c>
      <c r="J115" s="103" t="str">
        <f>"(50)"</f>
        <v>(50)</v>
      </c>
      <c r="K115" s="102" t="e">
        <f>'kuni 2025 detsember tegevuskava'!#REF!</f>
        <v>#REF!</v>
      </c>
      <c r="L115" s="98" t="str">
        <f>"(50)"</f>
        <v>(50)</v>
      </c>
      <c r="M115" s="102" t="e">
        <f>'kuni 2025 detsember tegevuskava'!#REF!</f>
        <v>#REF!</v>
      </c>
      <c r="N115" s="103" t="str">
        <f>"(50)"</f>
        <v>(50)</v>
      </c>
      <c r="O115" s="97" t="e">
        <f>'kuni 2025 detsember tegevuskava'!#REF!</f>
        <v>#REF!</v>
      </c>
      <c r="P115" s="87" t="str">
        <f>"(50)"</f>
        <v>(50)</v>
      </c>
    </row>
    <row r="116" spans="2:16" ht="16.5" x14ac:dyDescent="0.35">
      <c r="B116" s="145"/>
      <c r="C116" s="8"/>
      <c r="D116" s="8"/>
      <c r="E116" s="8"/>
      <c r="F116" s="8"/>
      <c r="G116" s="8"/>
      <c r="H116" s="192"/>
      <c r="I116" s="102" t="e">
        <f>SUM(K116+M116+O116)</f>
        <v>#REF!</v>
      </c>
      <c r="J116" s="103" t="str">
        <f>"(55)"</f>
        <v>(55)</v>
      </c>
      <c r="K116" s="102" t="e">
        <f>'kuni 2025 detsember tegevuskava'!#REF!</f>
        <v>#REF!</v>
      </c>
      <c r="L116" s="88" t="str">
        <f>"(55)"</f>
        <v>(55)</v>
      </c>
      <c r="M116" s="102" t="e">
        <f>'kuni 2025 detsember tegevuskava'!#REF!</f>
        <v>#REF!</v>
      </c>
      <c r="N116" s="103" t="str">
        <f>"(55)"</f>
        <v>(55)</v>
      </c>
      <c r="O116" s="99" t="e">
        <f>'kuni 2025 detsember tegevuskava'!#REF!</f>
        <v>#REF!</v>
      </c>
      <c r="P116" s="90" t="str">
        <f>"(55)"</f>
        <v>(55)</v>
      </c>
    </row>
    <row r="117" spans="2:16" ht="16.5" x14ac:dyDescent="0.35">
      <c r="B117" s="145"/>
      <c r="C117" s="8"/>
      <c r="D117" s="8"/>
      <c r="E117" s="8"/>
      <c r="F117" s="8"/>
      <c r="G117" s="8"/>
      <c r="H117" s="192"/>
      <c r="I117" s="346" t="s">
        <v>553</v>
      </c>
      <c r="J117" s="347"/>
      <c r="K117" s="181"/>
      <c r="L117" s="8"/>
      <c r="M117" s="183"/>
      <c r="N117" s="348"/>
      <c r="O117" s="8"/>
      <c r="P117" s="159"/>
    </row>
    <row r="118" spans="2:16" ht="16.5" x14ac:dyDescent="0.35">
      <c r="B118" s="145"/>
      <c r="C118" s="8"/>
      <c r="D118" s="8"/>
      <c r="E118" s="8"/>
      <c r="F118" s="8"/>
      <c r="G118" s="8"/>
      <c r="H118" s="192"/>
      <c r="I118" s="179" t="e">
        <f>SUM(I119:I121)</f>
        <v>#REF!</v>
      </c>
      <c r="J118" s="103"/>
      <c r="K118" s="172" t="e">
        <f>SUM(K119:K121)</f>
        <v>#REF!</v>
      </c>
      <c r="L118" s="92"/>
      <c r="M118" s="179" t="e">
        <f>SUM(M119:M121)</f>
        <v>#REF!</v>
      </c>
      <c r="N118" s="168"/>
      <c r="O118" s="100" t="e">
        <f>SUM(O119:O121)</f>
        <v>#REF!</v>
      </c>
      <c r="P118" s="134"/>
    </row>
    <row r="119" spans="2:16" ht="16.5" x14ac:dyDescent="0.35">
      <c r="B119" s="145"/>
      <c r="C119" s="8"/>
      <c r="D119" s="8"/>
      <c r="E119" s="8"/>
      <c r="F119" s="8"/>
      <c r="G119" s="8"/>
      <c r="H119" s="192"/>
      <c r="I119" s="102" t="e">
        <f>SUM(K119+M119+O119)</f>
        <v>#REF!</v>
      </c>
      <c r="J119" s="103" t="str">
        <f>"(15)"</f>
        <v>(15)</v>
      </c>
      <c r="K119" s="97" t="e">
        <f>SUM(K114*1.2)</f>
        <v>#REF!</v>
      </c>
      <c r="L119" s="98" t="str">
        <f>"(15)"</f>
        <v>(15)</v>
      </c>
      <c r="M119" s="102" t="e">
        <f>SUM(M114*1.22)</f>
        <v>#REF!</v>
      </c>
      <c r="N119" s="103" t="str">
        <f>"(15)"</f>
        <v>(15)</v>
      </c>
      <c r="O119" s="102" t="e">
        <f>SUM(O114*1.22)</f>
        <v>#REF!</v>
      </c>
      <c r="P119" s="87" t="str">
        <f>"(15)"</f>
        <v>(15)</v>
      </c>
    </row>
    <row r="120" spans="2:16" ht="16.5" x14ac:dyDescent="0.35">
      <c r="B120" s="145"/>
      <c r="C120" s="8"/>
      <c r="D120" s="8"/>
      <c r="E120" s="8"/>
      <c r="F120" s="8"/>
      <c r="G120" s="8"/>
      <c r="H120" s="192"/>
      <c r="I120" s="102" t="e">
        <f>SUM(K120+M120+O120)</f>
        <v>#REF!</v>
      </c>
      <c r="J120" s="103" t="str">
        <f>"(50)"</f>
        <v>(50)</v>
      </c>
      <c r="K120" s="97" t="e">
        <f>K115</f>
        <v>#REF!</v>
      </c>
      <c r="L120" s="98" t="str">
        <f>"(50)"</f>
        <v>(50)</v>
      </c>
      <c r="M120" s="102" t="e">
        <f>M115</f>
        <v>#REF!</v>
      </c>
      <c r="N120" s="103" t="str">
        <f>"(50)"</f>
        <v>(50)</v>
      </c>
      <c r="O120" s="102" t="e">
        <f>O115</f>
        <v>#REF!</v>
      </c>
      <c r="P120" s="87" t="str">
        <f>"(50)"</f>
        <v>(50)</v>
      </c>
    </row>
    <row r="121" spans="2:16" ht="17" thickBot="1" x14ac:dyDescent="0.4">
      <c r="B121" s="160"/>
      <c r="C121" s="161"/>
      <c r="D121" s="161"/>
      <c r="E121" s="161"/>
      <c r="F121" s="161"/>
      <c r="G121" s="161"/>
      <c r="H121" s="193"/>
      <c r="I121" s="130" t="e">
        <f>SUM(K121+M121+O121)</f>
        <v>#REF!</v>
      </c>
      <c r="J121" s="131" t="str">
        <f>"(55)"</f>
        <v>(55)</v>
      </c>
      <c r="K121" s="93" t="e">
        <f>SUM(K116*1.2)</f>
        <v>#REF!</v>
      </c>
      <c r="L121" s="94" t="str">
        <f>"(55)"</f>
        <v>(55)</v>
      </c>
      <c r="M121" s="130" t="e">
        <f>SUM(M116*1.22)</f>
        <v>#REF!</v>
      </c>
      <c r="N121" s="131" t="str">
        <f>"(55)"</f>
        <v>(55)</v>
      </c>
      <c r="O121" s="130" t="e">
        <f>SUM(O116*1.22)</f>
        <v>#REF!</v>
      </c>
      <c r="P121" s="96" t="str">
        <f>"(55)"</f>
        <v>(55)</v>
      </c>
    </row>
    <row r="122" spans="2:16" ht="16.5" x14ac:dyDescent="0.35">
      <c r="B122" s="187" t="e">
        <f>'kuni 2025 detsember tegevuskava'!#REF!&amp;"/"&amp;'kuni 2025 detsember tegevuskava'!#REF!</f>
        <v>#REF!</v>
      </c>
      <c r="C122" s="156" t="e">
        <f>'kuni 2025 detsember tegevuskava'!#REF!</f>
        <v>#REF!</v>
      </c>
      <c r="D122" s="156" t="e">
        <f>'kuni 2025 detsember tegevuskava'!#REF!</f>
        <v>#REF!</v>
      </c>
      <c r="E122" s="156" t="e">
        <f>'kuni 2025 detsember tegevuskava'!#REF!</f>
        <v>#REF!</v>
      </c>
      <c r="F122" s="156" t="e">
        <f>'kuni 2025 detsember tegevuskava'!#REF!&amp;"/"</f>
        <v>#REF!</v>
      </c>
      <c r="G122" s="156" t="e" cm="1">
        <f t="array" ref="G122">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22" s="194" t="e" cm="1">
        <f t="array" ref="H122">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22" s="132" t="e">
        <f>SUM(I123:I125)</f>
        <v>#REF!</v>
      </c>
      <c r="J122" s="133"/>
      <c r="K122" s="81" t="e">
        <f>SUM(K123:K125)</f>
        <v>#REF!</v>
      </c>
      <c r="L122" s="83"/>
      <c r="M122" s="132" t="e">
        <f>SUM(M123:M125)</f>
        <v>#REF!</v>
      </c>
      <c r="N122" s="133"/>
      <c r="O122" s="81" t="e">
        <f>SUM(O123:O125)</f>
        <v>#REF!</v>
      </c>
      <c r="P122" s="85"/>
    </row>
    <row r="123" spans="2:16" ht="16.5" x14ac:dyDescent="0.35">
      <c r="B123" s="145"/>
      <c r="C123" s="8"/>
      <c r="D123" s="8"/>
      <c r="E123" s="8"/>
      <c r="F123" s="8"/>
      <c r="G123" s="8"/>
      <c r="H123" s="192"/>
      <c r="I123" s="102" t="e">
        <f>SUM(K123+M123+O123)</f>
        <v>#REF!</v>
      </c>
      <c r="J123" s="103" t="str">
        <f>"(15)"</f>
        <v>(15)</v>
      </c>
      <c r="K123" s="97" t="e">
        <f>'kuni 2025 detsember tegevuskava'!#REF!</f>
        <v>#REF!</v>
      </c>
      <c r="L123" s="98" t="str">
        <f>"(15)"</f>
        <v>(15)</v>
      </c>
      <c r="M123" s="102" t="e">
        <f>'kuni 2025 detsember tegevuskava'!#REF!</f>
        <v>#REF!</v>
      </c>
      <c r="N123" s="103" t="str">
        <f>"(15)"</f>
        <v>(15)</v>
      </c>
      <c r="O123" s="97" t="e">
        <f>'kuni 2025 detsember tegevuskava'!#REF!</f>
        <v>#REF!</v>
      </c>
      <c r="P123" s="87" t="str">
        <f>"(15)"</f>
        <v>(15)</v>
      </c>
    </row>
    <row r="124" spans="2:16" ht="16.5" x14ac:dyDescent="0.35">
      <c r="B124" s="145"/>
      <c r="C124" s="8"/>
      <c r="D124" s="8"/>
      <c r="E124" s="8"/>
      <c r="F124" s="8"/>
      <c r="G124" s="8"/>
      <c r="H124" s="192"/>
      <c r="I124" s="102" t="e">
        <f>SUM(K124+M124+O124)</f>
        <v>#REF!</v>
      </c>
      <c r="J124" s="103" t="str">
        <f>"(50)"</f>
        <v>(50)</v>
      </c>
      <c r="K124" s="97" t="e">
        <f>'kuni 2025 detsember tegevuskava'!#REF!</f>
        <v>#REF!</v>
      </c>
      <c r="L124" s="98" t="str">
        <f>"(50)"</f>
        <v>(50)</v>
      </c>
      <c r="M124" s="102" t="e">
        <f>'kuni 2025 detsember tegevuskava'!#REF!</f>
        <v>#REF!</v>
      </c>
      <c r="N124" s="103" t="str">
        <f>"(50)"</f>
        <v>(50)</v>
      </c>
      <c r="O124" s="97" t="e">
        <f>'kuni 2025 detsember tegevuskava'!#REF!</f>
        <v>#REF!</v>
      </c>
      <c r="P124" s="87" t="str">
        <f>"(50)"</f>
        <v>(50)</v>
      </c>
    </row>
    <row r="125" spans="2:16" ht="16.5" x14ac:dyDescent="0.35">
      <c r="B125" s="145"/>
      <c r="C125" s="8"/>
      <c r="D125" s="8"/>
      <c r="E125" s="8"/>
      <c r="F125" s="8"/>
      <c r="G125" s="8"/>
      <c r="H125" s="192"/>
      <c r="I125" s="102" t="e">
        <f>SUM(K125+M125+O125)</f>
        <v>#REF!</v>
      </c>
      <c r="J125" s="105" t="str">
        <f>"(55)"</f>
        <v>(55)</v>
      </c>
      <c r="K125" s="99" t="e">
        <f>'kuni 2025 detsember tegevuskava'!#REF!</f>
        <v>#REF!</v>
      </c>
      <c r="L125" s="88" t="str">
        <f>"(55)"</f>
        <v>(55)</v>
      </c>
      <c r="M125" s="104" t="e">
        <f>'kuni 2025 detsember tegevuskava'!#REF!</f>
        <v>#REF!</v>
      </c>
      <c r="N125" s="105" t="str">
        <f>"(55)"</f>
        <v>(55)</v>
      </c>
      <c r="O125" s="99" t="e">
        <f>'kuni 2025 detsember tegevuskava'!#REF!</f>
        <v>#REF!</v>
      </c>
      <c r="P125" s="90" t="str">
        <f>"(55)"</f>
        <v>(55)</v>
      </c>
    </row>
    <row r="126" spans="2:16" ht="16.5" x14ac:dyDescent="0.35">
      <c r="B126" s="145"/>
      <c r="C126" s="8"/>
      <c r="D126" s="8"/>
      <c r="E126" s="8"/>
      <c r="F126" s="8"/>
      <c r="G126" s="8"/>
      <c r="H126" s="192"/>
      <c r="I126" s="183" t="s">
        <v>553</v>
      </c>
      <c r="J126" s="8"/>
      <c r="K126" s="8"/>
      <c r="L126" s="8"/>
      <c r="M126" s="8"/>
      <c r="N126" s="8"/>
      <c r="O126" s="8"/>
      <c r="P126" s="159"/>
    </row>
    <row r="127" spans="2:16" ht="16.5" x14ac:dyDescent="0.35">
      <c r="B127" s="145"/>
      <c r="C127" s="8"/>
      <c r="D127" s="8"/>
      <c r="E127" s="8"/>
      <c r="F127" s="8"/>
      <c r="G127" s="8"/>
      <c r="H127" s="192"/>
      <c r="I127" s="179" t="e">
        <f>SUM(I128:I130)</f>
        <v>#REF!</v>
      </c>
      <c r="J127" s="101"/>
      <c r="K127" s="91" t="e">
        <f>SUM(K128:K130)</f>
        <v>#REF!</v>
      </c>
      <c r="L127" s="92"/>
      <c r="M127" s="100" t="e">
        <f>SUM(M128:M130)</f>
        <v>#REF!</v>
      </c>
      <c r="N127" s="106"/>
      <c r="O127" s="100" t="e">
        <f>SUM(O128:O130)</f>
        <v>#REF!</v>
      </c>
      <c r="P127" s="134"/>
    </row>
    <row r="128" spans="2:16" ht="16.5" x14ac:dyDescent="0.35">
      <c r="B128" s="145"/>
      <c r="C128" s="8"/>
      <c r="D128" s="8"/>
      <c r="E128" s="8"/>
      <c r="F128" s="8"/>
      <c r="G128" s="8"/>
      <c r="H128" s="192"/>
      <c r="I128" s="102" t="e">
        <f>SUM(K128+M128+O128)</f>
        <v>#REF!</v>
      </c>
      <c r="J128" s="103" t="str">
        <f>"(15)"</f>
        <v>(15)</v>
      </c>
      <c r="K128" s="97" t="e">
        <f>SUM(K123*1.2)</f>
        <v>#REF!</v>
      </c>
      <c r="L128" s="98" t="str">
        <f>"(15)"</f>
        <v>(15)</v>
      </c>
      <c r="M128" s="102" t="e">
        <f>SUM(M123*1.22)</f>
        <v>#REF!</v>
      </c>
      <c r="N128" s="103" t="str">
        <f>"(15)"</f>
        <v>(15)</v>
      </c>
      <c r="O128" s="102" t="e">
        <f>SUM(O123*1.22)</f>
        <v>#REF!</v>
      </c>
      <c r="P128" s="87" t="str">
        <f>"(15)"</f>
        <v>(15)</v>
      </c>
    </row>
    <row r="129" spans="2:16" ht="16.5" x14ac:dyDescent="0.35">
      <c r="B129" s="145"/>
      <c r="C129" s="8"/>
      <c r="D129" s="8"/>
      <c r="E129" s="8"/>
      <c r="F129" s="8"/>
      <c r="G129" s="8"/>
      <c r="H129" s="192"/>
      <c r="I129" s="102" t="e">
        <f>SUM(K129+M129+O129)</f>
        <v>#REF!</v>
      </c>
      <c r="J129" s="103" t="str">
        <f>"(50)"</f>
        <v>(50)</v>
      </c>
      <c r="K129" s="97" t="e">
        <f>K124</f>
        <v>#REF!</v>
      </c>
      <c r="L129" s="98" t="str">
        <f>"(50)"</f>
        <v>(50)</v>
      </c>
      <c r="M129" s="102" t="e">
        <f>M124</f>
        <v>#REF!</v>
      </c>
      <c r="N129" s="103" t="str">
        <f>"(50)"</f>
        <v>(50)</v>
      </c>
      <c r="O129" s="102" t="e">
        <f>O124</f>
        <v>#REF!</v>
      </c>
      <c r="P129" s="87" t="str">
        <f>"(50)"</f>
        <v>(50)</v>
      </c>
    </row>
    <row r="130" spans="2:16" ht="17" thickBot="1" x14ac:dyDescent="0.4">
      <c r="B130" s="160"/>
      <c r="C130" s="161"/>
      <c r="D130" s="161"/>
      <c r="E130" s="161"/>
      <c r="F130" s="161"/>
      <c r="G130" s="161"/>
      <c r="H130" s="193"/>
      <c r="I130" s="130" t="e">
        <f>SUM(K130+M130+O130)</f>
        <v>#REF!</v>
      </c>
      <c r="J130" s="131" t="str">
        <f>"(55)"</f>
        <v>(55)</v>
      </c>
      <c r="K130" s="93" t="e">
        <f>SUM(K125*1.2)</f>
        <v>#REF!</v>
      </c>
      <c r="L130" s="94" t="str">
        <f>"(55)"</f>
        <v>(55)</v>
      </c>
      <c r="M130" s="130" t="e">
        <f>SUM(M125*1.22)</f>
        <v>#REF!</v>
      </c>
      <c r="N130" s="131" t="str">
        <f>"(55)"</f>
        <v>(55)</v>
      </c>
      <c r="O130" s="130" t="e">
        <f>SUM(O125*1.22)</f>
        <v>#REF!</v>
      </c>
      <c r="P130" s="96" t="str">
        <f>"(55)"</f>
        <v>(55)</v>
      </c>
    </row>
    <row r="131" spans="2:16" ht="16.5" x14ac:dyDescent="0.35">
      <c r="B131" s="187" t="e">
        <f>'kuni 2025 detsember tegevuskava'!#REF!&amp;"/"&amp;'kuni 2025 detsember tegevuskava'!#REF!</f>
        <v>#REF!</v>
      </c>
      <c r="C131" s="156" t="e">
        <f>'kuni 2025 detsember tegevuskava'!#REF!</f>
        <v>#REF!</v>
      </c>
      <c r="D131" s="156" t="e">
        <f>'kuni 2025 detsember tegevuskava'!#REF!</f>
        <v>#REF!</v>
      </c>
      <c r="E131" s="156" t="e">
        <f>'kuni 2025 detsember tegevuskava'!#REF!</f>
        <v>#REF!</v>
      </c>
      <c r="F131" s="156" t="e">
        <f>'kuni 2025 detsember tegevuskava'!#REF!&amp;"/"</f>
        <v>#REF!</v>
      </c>
      <c r="G131" s="156" t="e" cm="1">
        <f t="array" ref="G131">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31" s="194" t="e" cm="1">
        <f t="array" ref="H131">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31" s="132" t="e">
        <f>SUM(I132:I134)</f>
        <v>#REF!</v>
      </c>
      <c r="J131" s="133"/>
      <c r="K131" s="81" t="e">
        <f>SUM(K132:K134)</f>
        <v>#REF!</v>
      </c>
      <c r="L131" s="83"/>
      <c r="M131" s="132" t="e">
        <f>SUM(M132:M134)</f>
        <v>#REF!</v>
      </c>
      <c r="N131" s="133"/>
      <c r="O131" s="81" t="e">
        <f>SUM(O132:O134)</f>
        <v>#REF!</v>
      </c>
      <c r="P131" s="85"/>
    </row>
    <row r="132" spans="2:16" ht="16.5" x14ac:dyDescent="0.35">
      <c r="B132" s="145"/>
      <c r="C132" s="8"/>
      <c r="D132" s="8"/>
      <c r="E132" s="8"/>
      <c r="F132" s="8"/>
      <c r="G132" s="8"/>
      <c r="H132" s="192"/>
      <c r="I132" s="102" t="e">
        <f>SUM(K132+M132+O132)</f>
        <v>#REF!</v>
      </c>
      <c r="J132" s="103" t="str">
        <f>"(15)"</f>
        <v>(15)</v>
      </c>
      <c r="K132" s="97" t="e">
        <f>'kuni 2025 detsember tegevuskava'!#REF!</f>
        <v>#REF!</v>
      </c>
      <c r="L132" s="98" t="str">
        <f>"(15)"</f>
        <v>(15)</v>
      </c>
      <c r="M132" s="102" t="e">
        <f>'kuni 2025 detsember tegevuskava'!#REF!</f>
        <v>#REF!</v>
      </c>
      <c r="N132" s="103" t="str">
        <f>"(15)"</f>
        <v>(15)</v>
      </c>
      <c r="O132" s="97" t="e">
        <f>'kuni 2025 detsember tegevuskava'!#REF!</f>
        <v>#REF!</v>
      </c>
      <c r="P132" s="87" t="str">
        <f>"(15)"</f>
        <v>(15)</v>
      </c>
    </row>
    <row r="133" spans="2:16" ht="16.5" x14ac:dyDescent="0.35">
      <c r="B133" s="145"/>
      <c r="C133" s="8"/>
      <c r="D133" s="8"/>
      <c r="E133" s="8"/>
      <c r="F133" s="8"/>
      <c r="G133" s="8"/>
      <c r="H133" s="192"/>
      <c r="I133" s="102" t="e">
        <f>SUM(K133+M133+O133)</f>
        <v>#REF!</v>
      </c>
      <c r="J133" s="103" t="str">
        <f>"(50)"</f>
        <v>(50)</v>
      </c>
      <c r="K133" s="97" t="e">
        <f>'kuni 2025 detsember tegevuskava'!#REF!</f>
        <v>#REF!</v>
      </c>
      <c r="L133" s="98" t="str">
        <f>"(50)"</f>
        <v>(50)</v>
      </c>
      <c r="M133" s="102" t="e">
        <f>'kuni 2025 detsember tegevuskava'!#REF!</f>
        <v>#REF!</v>
      </c>
      <c r="N133" s="103" t="str">
        <f>"(50)"</f>
        <v>(50)</v>
      </c>
      <c r="O133" s="97" t="e">
        <f>'kuni 2025 detsember tegevuskava'!#REF!</f>
        <v>#REF!</v>
      </c>
      <c r="P133" s="87" t="str">
        <f>"(50)"</f>
        <v>(50)</v>
      </c>
    </row>
    <row r="134" spans="2:16" ht="16.5" x14ac:dyDescent="0.35">
      <c r="B134" s="145"/>
      <c r="C134" s="8"/>
      <c r="D134" s="8"/>
      <c r="E134" s="8"/>
      <c r="F134" s="8"/>
      <c r="G134" s="8"/>
      <c r="H134" s="192"/>
      <c r="I134" s="102" t="e">
        <f>SUM(K134+M134+O134)</f>
        <v>#REF!</v>
      </c>
      <c r="J134" s="105" t="str">
        <f>"(55)"</f>
        <v>(55)</v>
      </c>
      <c r="K134" s="99" t="e">
        <f>'kuni 2025 detsember tegevuskava'!#REF!</f>
        <v>#REF!</v>
      </c>
      <c r="L134" s="88" t="str">
        <f>"(55)"</f>
        <v>(55)</v>
      </c>
      <c r="M134" s="104" t="e">
        <f>'kuni 2025 detsember tegevuskava'!#REF!</f>
        <v>#REF!</v>
      </c>
      <c r="N134" s="105" t="str">
        <f>"(55)"</f>
        <v>(55)</v>
      </c>
      <c r="O134" s="99" t="e">
        <f>'kuni 2025 detsember tegevuskava'!#REF!</f>
        <v>#REF!</v>
      </c>
      <c r="P134" s="90" t="str">
        <f>"(55)"</f>
        <v>(55)</v>
      </c>
    </row>
    <row r="135" spans="2:16" ht="16.5" x14ac:dyDescent="0.35">
      <c r="B135" s="145"/>
      <c r="C135" s="8"/>
      <c r="D135" s="8"/>
      <c r="E135" s="8"/>
      <c r="F135" s="8"/>
      <c r="G135" s="8"/>
      <c r="H135" s="192"/>
      <c r="I135" s="183" t="s">
        <v>553</v>
      </c>
      <c r="J135" s="8"/>
      <c r="K135" s="8"/>
      <c r="L135" s="8"/>
      <c r="M135" s="8"/>
      <c r="N135" s="8"/>
      <c r="O135" s="8"/>
      <c r="P135" s="159"/>
    </row>
    <row r="136" spans="2:16" ht="16.5" x14ac:dyDescent="0.35">
      <c r="B136" s="145"/>
      <c r="C136" s="8"/>
      <c r="D136" s="8"/>
      <c r="E136" s="8"/>
      <c r="F136" s="8"/>
      <c r="G136" s="8"/>
      <c r="H136" s="192"/>
      <c r="I136" s="179" t="e">
        <f>SUM(I137:I139)</f>
        <v>#REF!</v>
      </c>
      <c r="J136" s="101"/>
      <c r="K136" s="91" t="e">
        <f>SUM(K137:K139)</f>
        <v>#REF!</v>
      </c>
      <c r="L136" s="92"/>
      <c r="M136" s="100" t="e">
        <f>SUM(M137:M139)</f>
        <v>#REF!</v>
      </c>
      <c r="N136" s="106"/>
      <c r="O136" s="100" t="e">
        <f>SUM(O137:O139)</f>
        <v>#REF!</v>
      </c>
      <c r="P136" s="134"/>
    </row>
    <row r="137" spans="2:16" ht="16.5" x14ac:dyDescent="0.35">
      <c r="B137" s="145"/>
      <c r="C137" s="8"/>
      <c r="D137" s="8"/>
      <c r="E137" s="8"/>
      <c r="F137" s="8"/>
      <c r="G137" s="8"/>
      <c r="H137" s="192"/>
      <c r="I137" s="102" t="e">
        <f>SUM(K137+M137+O137)</f>
        <v>#REF!</v>
      </c>
      <c r="J137" s="103" t="str">
        <f>"(15)"</f>
        <v>(15)</v>
      </c>
      <c r="K137" s="97" t="e">
        <f>SUM(K132*1.2)</f>
        <v>#REF!</v>
      </c>
      <c r="L137" s="98" t="str">
        <f>"(15)"</f>
        <v>(15)</v>
      </c>
      <c r="M137" s="102" t="e">
        <f>SUM(M132*1.22)</f>
        <v>#REF!</v>
      </c>
      <c r="N137" s="103" t="str">
        <f>"(15)"</f>
        <v>(15)</v>
      </c>
      <c r="O137" s="102" t="e">
        <f>SUM(O132*1.22)</f>
        <v>#REF!</v>
      </c>
      <c r="P137" s="87" t="str">
        <f>"(15)"</f>
        <v>(15)</v>
      </c>
    </row>
    <row r="138" spans="2:16" ht="16.5" x14ac:dyDescent="0.35">
      <c r="B138" s="145"/>
      <c r="C138" s="8"/>
      <c r="D138" s="8"/>
      <c r="E138" s="8"/>
      <c r="F138" s="8"/>
      <c r="G138" s="8"/>
      <c r="H138" s="192"/>
      <c r="I138" s="102" t="e">
        <f>SUM(K138+M138+O138)</f>
        <v>#REF!</v>
      </c>
      <c r="J138" s="103" t="str">
        <f>"(50)"</f>
        <v>(50)</v>
      </c>
      <c r="K138" s="97" t="e">
        <f>K133</f>
        <v>#REF!</v>
      </c>
      <c r="L138" s="98" t="str">
        <f>"(50)"</f>
        <v>(50)</v>
      </c>
      <c r="M138" s="102" t="e">
        <f>M133</f>
        <v>#REF!</v>
      </c>
      <c r="N138" s="103" t="str">
        <f>"(50)"</f>
        <v>(50)</v>
      </c>
      <c r="O138" s="102" t="e">
        <f>O133</f>
        <v>#REF!</v>
      </c>
      <c r="P138" s="87" t="str">
        <f>"(50)"</f>
        <v>(50)</v>
      </c>
    </row>
    <row r="139" spans="2:16" ht="17" thickBot="1" x14ac:dyDescent="0.4">
      <c r="B139" s="160"/>
      <c r="C139" s="161"/>
      <c r="D139" s="161"/>
      <c r="E139" s="161"/>
      <c r="F139" s="161"/>
      <c r="G139" s="161"/>
      <c r="H139" s="193"/>
      <c r="I139" s="130" t="e">
        <f>SUM(K139+M139+O139)</f>
        <v>#REF!</v>
      </c>
      <c r="J139" s="131" t="str">
        <f>"(55)"</f>
        <v>(55)</v>
      </c>
      <c r="K139" s="93" t="e">
        <f>SUM(K134*1.2)</f>
        <v>#REF!</v>
      </c>
      <c r="L139" s="94" t="str">
        <f>"(55)"</f>
        <v>(55)</v>
      </c>
      <c r="M139" s="130" t="e">
        <f>SUM(M134*1.22)</f>
        <v>#REF!</v>
      </c>
      <c r="N139" s="131" t="str">
        <f>"(55)"</f>
        <v>(55)</v>
      </c>
      <c r="O139" s="130" t="e">
        <f>SUM(O134*1.22)</f>
        <v>#REF!</v>
      </c>
      <c r="P139" s="96" t="str">
        <f>"(55)"</f>
        <v>(55)</v>
      </c>
    </row>
    <row r="140" spans="2:16" ht="16.5" x14ac:dyDescent="0.35">
      <c r="B140" s="187" t="e">
        <f>'kuni 2025 detsember tegevuskava'!#REF!&amp;"/"&amp;'kuni 2025 detsember tegevuskava'!#REF!</f>
        <v>#REF!</v>
      </c>
      <c r="C140" s="156" t="e">
        <f>'kuni 2025 detsember tegevuskava'!#REF!</f>
        <v>#REF!</v>
      </c>
      <c r="D140" s="156" t="e">
        <f>'kuni 2025 detsember tegevuskava'!#REF!</f>
        <v>#REF!</v>
      </c>
      <c r="E140" s="156" t="e">
        <f>'kuni 2025 detsember tegevuskava'!#REF!</f>
        <v>#REF!</v>
      </c>
      <c r="F140" s="156" t="e">
        <f>'kuni 2025 detsember tegevuskava'!#REF!&amp;"/"</f>
        <v>#REF!</v>
      </c>
      <c r="G140" s="156" t="e" cm="1">
        <f t="array" ref="G140">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40" s="194" t="e" cm="1">
        <f t="array" ref="H140">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40" s="132" t="e">
        <f>SUM(I141:I143)</f>
        <v>#REF!</v>
      </c>
      <c r="J140" s="133"/>
      <c r="K140" s="81" t="e">
        <f>SUM(K141:K143)</f>
        <v>#REF!</v>
      </c>
      <c r="L140" s="83"/>
      <c r="M140" s="132" t="e">
        <f>SUM(M141:M143)</f>
        <v>#REF!</v>
      </c>
      <c r="N140" s="133"/>
      <c r="O140" s="81" t="e">
        <f>SUM(O141:O143)</f>
        <v>#REF!</v>
      </c>
      <c r="P140" s="85"/>
    </row>
    <row r="141" spans="2:16" ht="16.5" x14ac:dyDescent="0.35">
      <c r="B141" s="145"/>
      <c r="C141" s="8"/>
      <c r="D141" s="8"/>
      <c r="E141" s="8"/>
      <c r="F141" s="8"/>
      <c r="G141" s="8"/>
      <c r="H141" s="192"/>
      <c r="I141" s="102" t="e">
        <f>SUM(K141+M141+O141)</f>
        <v>#REF!</v>
      </c>
      <c r="J141" s="103" t="str">
        <f>"(15)"</f>
        <v>(15)</v>
      </c>
      <c r="K141" s="97" t="e">
        <f>'kuni 2025 detsember tegevuskava'!#REF!</f>
        <v>#REF!</v>
      </c>
      <c r="L141" s="98" t="str">
        <f>"(15)"</f>
        <v>(15)</v>
      </c>
      <c r="M141" s="102" t="e">
        <f>'kuni 2025 detsember tegevuskava'!#REF!</f>
        <v>#REF!</v>
      </c>
      <c r="N141" s="103" t="str">
        <f>"(15)"</f>
        <v>(15)</v>
      </c>
      <c r="O141" s="97" t="e">
        <f>'kuni 2025 detsember tegevuskava'!#REF!</f>
        <v>#REF!</v>
      </c>
      <c r="P141" s="87" t="str">
        <f>"(15)"</f>
        <v>(15)</v>
      </c>
    </row>
    <row r="142" spans="2:16" ht="16.5" x14ac:dyDescent="0.35">
      <c r="B142" s="145"/>
      <c r="C142" s="8"/>
      <c r="D142" s="8"/>
      <c r="E142" s="8"/>
      <c r="F142" s="8"/>
      <c r="G142" s="8"/>
      <c r="H142" s="192"/>
      <c r="I142" s="102" t="e">
        <f>SUM(K142+M142+O142)</f>
        <v>#REF!</v>
      </c>
      <c r="J142" s="103" t="str">
        <f>"(50)"</f>
        <v>(50)</v>
      </c>
      <c r="K142" s="97" t="e">
        <f>'kuni 2025 detsember tegevuskava'!#REF!</f>
        <v>#REF!</v>
      </c>
      <c r="L142" s="98" t="str">
        <f>"(50)"</f>
        <v>(50)</v>
      </c>
      <c r="M142" s="102" t="e">
        <f>'kuni 2025 detsember tegevuskava'!#REF!</f>
        <v>#REF!</v>
      </c>
      <c r="N142" s="103" t="str">
        <f>"(50)"</f>
        <v>(50)</v>
      </c>
      <c r="O142" s="97" t="e">
        <f>'kuni 2025 detsember tegevuskava'!#REF!</f>
        <v>#REF!</v>
      </c>
      <c r="P142" s="87" t="str">
        <f>"(50)"</f>
        <v>(50)</v>
      </c>
    </row>
    <row r="143" spans="2:16" ht="16.5" x14ac:dyDescent="0.35">
      <c r="B143" s="145"/>
      <c r="C143" s="8"/>
      <c r="D143" s="8"/>
      <c r="E143" s="8"/>
      <c r="F143" s="8"/>
      <c r="G143" s="8"/>
      <c r="H143" s="192"/>
      <c r="I143" s="102" t="e">
        <f>SUM(K143+M143+O143)</f>
        <v>#REF!</v>
      </c>
      <c r="J143" s="105" t="str">
        <f>"(55)"</f>
        <v>(55)</v>
      </c>
      <c r="K143" s="99" t="e">
        <f>'kuni 2025 detsember tegevuskava'!#REF!</f>
        <v>#REF!</v>
      </c>
      <c r="L143" s="88" t="str">
        <f>"(55)"</f>
        <v>(55)</v>
      </c>
      <c r="M143" s="104" t="e">
        <f>'kuni 2025 detsember tegevuskava'!#REF!</f>
        <v>#REF!</v>
      </c>
      <c r="N143" s="105" t="str">
        <f>"(55)"</f>
        <v>(55)</v>
      </c>
      <c r="O143" s="99" t="e">
        <f>'kuni 2025 detsember tegevuskava'!#REF!</f>
        <v>#REF!</v>
      </c>
      <c r="P143" s="90" t="str">
        <f>"(55)"</f>
        <v>(55)</v>
      </c>
    </row>
    <row r="144" spans="2:16" ht="16.5" x14ac:dyDescent="0.35">
      <c r="B144" s="145"/>
      <c r="C144" s="8"/>
      <c r="D144" s="8"/>
      <c r="E144" s="8"/>
      <c r="F144" s="8"/>
      <c r="G144" s="8"/>
      <c r="H144" s="192"/>
      <c r="I144" s="183" t="s">
        <v>553</v>
      </c>
      <c r="J144" s="8"/>
      <c r="K144" s="8"/>
      <c r="L144" s="8"/>
      <c r="M144" s="8"/>
      <c r="N144" s="8"/>
      <c r="O144" s="8"/>
      <c r="P144" s="159"/>
    </row>
    <row r="145" spans="2:16" ht="16.5" x14ac:dyDescent="0.35">
      <c r="B145" s="145"/>
      <c r="C145" s="8"/>
      <c r="D145" s="8"/>
      <c r="E145" s="8"/>
      <c r="F145" s="8"/>
      <c r="G145" s="8"/>
      <c r="H145" s="192"/>
      <c r="I145" s="179" t="e">
        <f>SUM(I146:I148)</f>
        <v>#REF!</v>
      </c>
      <c r="J145" s="101"/>
      <c r="K145" s="91" t="e">
        <f>SUM(K146:K148)</f>
        <v>#REF!</v>
      </c>
      <c r="L145" s="92"/>
      <c r="M145" s="100" t="e">
        <f>SUM(M146:M148)</f>
        <v>#REF!</v>
      </c>
      <c r="N145" s="106"/>
      <c r="O145" s="100" t="e">
        <f>SUM(O146:O148)</f>
        <v>#REF!</v>
      </c>
      <c r="P145" s="134"/>
    </row>
    <row r="146" spans="2:16" ht="16.5" x14ac:dyDescent="0.35">
      <c r="B146" s="145"/>
      <c r="C146" s="8"/>
      <c r="D146" s="8"/>
      <c r="E146" s="8"/>
      <c r="F146" s="8"/>
      <c r="G146" s="8"/>
      <c r="H146" s="192"/>
      <c r="I146" s="102" t="e">
        <f>SUM(K146+M146+O146)</f>
        <v>#REF!</v>
      </c>
      <c r="J146" s="103" t="str">
        <f>"(15)"</f>
        <v>(15)</v>
      </c>
      <c r="K146" s="97" t="e">
        <f>SUM(K141*1.2)</f>
        <v>#REF!</v>
      </c>
      <c r="L146" s="98" t="str">
        <f>"(15)"</f>
        <v>(15)</v>
      </c>
      <c r="M146" s="102" t="e">
        <f>SUM(M141*1.22)</f>
        <v>#REF!</v>
      </c>
      <c r="N146" s="103" t="str">
        <f>"(15)"</f>
        <v>(15)</v>
      </c>
      <c r="O146" s="102" t="e">
        <f>SUM(O141*1.22)</f>
        <v>#REF!</v>
      </c>
      <c r="P146" s="87" t="str">
        <f>"(15)"</f>
        <v>(15)</v>
      </c>
    </row>
    <row r="147" spans="2:16" ht="16.5" x14ac:dyDescent="0.35">
      <c r="B147" s="145"/>
      <c r="C147" s="8"/>
      <c r="D147" s="8"/>
      <c r="E147" s="8"/>
      <c r="F147" s="8"/>
      <c r="G147" s="8"/>
      <c r="H147" s="192"/>
      <c r="I147" s="102" t="e">
        <f>SUM(K147+M147+O147)</f>
        <v>#REF!</v>
      </c>
      <c r="J147" s="103" t="str">
        <f>"(50)"</f>
        <v>(50)</v>
      </c>
      <c r="K147" s="97" t="e">
        <f>K142</f>
        <v>#REF!</v>
      </c>
      <c r="L147" s="98" t="str">
        <f>"(50)"</f>
        <v>(50)</v>
      </c>
      <c r="M147" s="102" t="e">
        <f>M142</f>
        <v>#REF!</v>
      </c>
      <c r="N147" s="103" t="str">
        <f>"(50)"</f>
        <v>(50)</v>
      </c>
      <c r="O147" s="102" t="e">
        <f>O142</f>
        <v>#REF!</v>
      </c>
      <c r="P147" s="87" t="str">
        <f>"(50)"</f>
        <v>(50)</v>
      </c>
    </row>
    <row r="148" spans="2:16" ht="17" thickBot="1" x14ac:dyDescent="0.4">
      <c r="B148" s="145"/>
      <c r="C148" s="8"/>
      <c r="D148" s="8"/>
      <c r="E148" s="8"/>
      <c r="F148" s="8"/>
      <c r="G148" s="8"/>
      <c r="H148" s="192"/>
      <c r="I148" s="130" t="e">
        <f>SUM(K148+M148+O148)</f>
        <v>#REF!</v>
      </c>
      <c r="J148" s="131" t="str">
        <f>"(55)"</f>
        <v>(55)</v>
      </c>
      <c r="K148" s="93" t="e">
        <f>SUM(K143*1.2)</f>
        <v>#REF!</v>
      </c>
      <c r="L148" s="94" t="str">
        <f>"(55)"</f>
        <v>(55)</v>
      </c>
      <c r="M148" s="130" t="e">
        <f>SUM(M143*1.22)</f>
        <v>#REF!</v>
      </c>
      <c r="N148" s="131" t="str">
        <f>"(55)"</f>
        <v>(55)</v>
      </c>
      <c r="O148" s="130" t="e">
        <f>SUM(O143*1.22)</f>
        <v>#REF!</v>
      </c>
      <c r="P148" s="96" t="str">
        <f>"(55)"</f>
        <v>(55)</v>
      </c>
    </row>
    <row r="149" spans="2:16" ht="16.5" x14ac:dyDescent="0.35">
      <c r="B149" s="187" t="e">
        <f>'kuni 2025 detsember tegevuskava'!#REF!&amp;"/"&amp;'kuni 2025 detsember tegevuskava'!#REF!</f>
        <v>#REF!</v>
      </c>
      <c r="C149" s="156" t="e">
        <f>'kuni 2025 detsember tegevuskava'!#REF!</f>
        <v>#REF!</v>
      </c>
      <c r="D149" s="156" t="e">
        <f>'kuni 2025 detsember tegevuskava'!#REF!</f>
        <v>#REF!</v>
      </c>
      <c r="E149" s="156" t="e">
        <f>'kuni 2025 detsember tegevuskava'!#REF!</f>
        <v>#REF!</v>
      </c>
      <c r="F149" s="156" t="e">
        <f>'kuni 2025 detsember tegevuskava'!#REF!&amp;"/"</f>
        <v>#REF!</v>
      </c>
      <c r="G149" s="156" t="e" cm="1">
        <f t="array" ref="G149">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49" s="194" t="e" cm="1">
        <f t="array" ref="H149">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49" s="132" t="e">
        <f>SUM(I150:I152)</f>
        <v>#REF!</v>
      </c>
      <c r="J149" s="133"/>
      <c r="K149" s="81" t="e">
        <f>SUM(K150:K152)</f>
        <v>#REF!</v>
      </c>
      <c r="L149" s="83"/>
      <c r="M149" s="132" t="e">
        <f>SUM(M150:M152)</f>
        <v>#REF!</v>
      </c>
      <c r="N149" s="133"/>
      <c r="O149" s="81" t="e">
        <f>SUM(O150:O152)</f>
        <v>#REF!</v>
      </c>
      <c r="P149" s="85"/>
    </row>
    <row r="150" spans="2:16" ht="16.5" x14ac:dyDescent="0.35">
      <c r="B150" s="145"/>
      <c r="C150" s="8"/>
      <c r="D150" s="8"/>
      <c r="E150" s="8"/>
      <c r="F150" s="8"/>
      <c r="G150" s="8"/>
      <c r="H150" s="192"/>
      <c r="I150" s="102" t="e">
        <f>SUM(K150+M150+O150)</f>
        <v>#REF!</v>
      </c>
      <c r="J150" s="103" t="str">
        <f>"(15)"</f>
        <v>(15)</v>
      </c>
      <c r="K150" s="97" t="e">
        <f>'kuni 2025 detsember tegevuskava'!#REF!</f>
        <v>#REF!</v>
      </c>
      <c r="L150" s="98" t="str">
        <f>"(15)"</f>
        <v>(15)</v>
      </c>
      <c r="M150" s="102" t="e">
        <f>'kuni 2025 detsember tegevuskava'!#REF!</f>
        <v>#REF!</v>
      </c>
      <c r="N150" s="103" t="str">
        <f>"(15)"</f>
        <v>(15)</v>
      </c>
      <c r="O150" s="97" t="e">
        <f>'kuni 2025 detsember tegevuskava'!#REF!</f>
        <v>#REF!</v>
      </c>
      <c r="P150" s="87" t="str">
        <f>"(15)"</f>
        <v>(15)</v>
      </c>
    </row>
    <row r="151" spans="2:16" ht="16.5" x14ac:dyDescent="0.35">
      <c r="B151" s="145"/>
      <c r="C151" s="8"/>
      <c r="D151" s="8"/>
      <c r="E151" s="8"/>
      <c r="F151" s="8"/>
      <c r="G151" s="8"/>
      <c r="H151" s="192"/>
      <c r="I151" s="102" t="e">
        <f>SUM(K151+M151+O151)</f>
        <v>#REF!</v>
      </c>
      <c r="J151" s="103" t="str">
        <f>"(50)"</f>
        <v>(50)</v>
      </c>
      <c r="K151" s="97" t="e">
        <f>'kuni 2025 detsember tegevuskava'!#REF!</f>
        <v>#REF!</v>
      </c>
      <c r="L151" s="98" t="str">
        <f>"(50)"</f>
        <v>(50)</v>
      </c>
      <c r="M151" s="102" t="e">
        <f>'kuni 2025 detsember tegevuskava'!#REF!</f>
        <v>#REF!</v>
      </c>
      <c r="N151" s="103" t="str">
        <f>"(50)"</f>
        <v>(50)</v>
      </c>
      <c r="O151" s="97" t="e">
        <f>'kuni 2025 detsember tegevuskava'!#REF!</f>
        <v>#REF!</v>
      </c>
      <c r="P151" s="87" t="str">
        <f>"(50)"</f>
        <v>(50)</v>
      </c>
    </row>
    <row r="152" spans="2:16" ht="16.5" x14ac:dyDescent="0.35">
      <c r="B152" s="145"/>
      <c r="C152" s="8"/>
      <c r="D152" s="8"/>
      <c r="E152" s="8"/>
      <c r="F152" s="8"/>
      <c r="G152" s="8"/>
      <c r="H152" s="192"/>
      <c r="I152" s="102" t="e">
        <f>SUM(K152+M152+O152)</f>
        <v>#REF!</v>
      </c>
      <c r="J152" s="105" t="str">
        <f>"(55)"</f>
        <v>(55)</v>
      </c>
      <c r="K152" s="99" t="e">
        <f>'kuni 2025 detsember tegevuskava'!#REF!</f>
        <v>#REF!</v>
      </c>
      <c r="L152" s="88" t="str">
        <f>"(55)"</f>
        <v>(55)</v>
      </c>
      <c r="M152" s="104" t="e">
        <f>'kuni 2025 detsember tegevuskava'!#REF!</f>
        <v>#REF!</v>
      </c>
      <c r="N152" s="105" t="str">
        <f>"(55)"</f>
        <v>(55)</v>
      </c>
      <c r="O152" s="99" t="e">
        <f>'kuni 2025 detsember tegevuskava'!#REF!</f>
        <v>#REF!</v>
      </c>
      <c r="P152" s="90" t="str">
        <f>"(55)"</f>
        <v>(55)</v>
      </c>
    </row>
    <row r="153" spans="2:16" ht="16.5" x14ac:dyDescent="0.35">
      <c r="B153" s="145"/>
      <c r="C153" s="8"/>
      <c r="D153" s="8"/>
      <c r="E153" s="8"/>
      <c r="F153" s="8"/>
      <c r="G153" s="8"/>
      <c r="H153" s="192"/>
      <c r="I153" s="183" t="s">
        <v>553</v>
      </c>
      <c r="J153" s="8"/>
      <c r="K153" s="8"/>
      <c r="L153" s="8"/>
      <c r="M153" s="8"/>
      <c r="N153" s="8"/>
      <c r="O153" s="8"/>
      <c r="P153" s="159"/>
    </row>
    <row r="154" spans="2:16" ht="16.5" x14ac:dyDescent="0.35">
      <c r="B154" s="145"/>
      <c r="C154" s="8"/>
      <c r="D154" s="8"/>
      <c r="E154" s="8"/>
      <c r="F154" s="8"/>
      <c r="G154" s="8"/>
      <c r="H154" s="192"/>
      <c r="I154" s="179" t="e">
        <f>SUM(I155:I157)</f>
        <v>#REF!</v>
      </c>
      <c r="J154" s="101"/>
      <c r="K154" s="91" t="e">
        <f>SUM(K155:K157)</f>
        <v>#REF!</v>
      </c>
      <c r="L154" s="92"/>
      <c r="M154" s="100" t="e">
        <f>SUM(M155:M157)</f>
        <v>#REF!</v>
      </c>
      <c r="N154" s="106"/>
      <c r="O154" s="100" t="e">
        <f>SUM(O155:O157)</f>
        <v>#REF!</v>
      </c>
      <c r="P154" s="134"/>
    </row>
    <row r="155" spans="2:16" ht="16.5" x14ac:dyDescent="0.35">
      <c r="B155" s="145"/>
      <c r="C155" s="8"/>
      <c r="D155" s="8"/>
      <c r="E155" s="8"/>
      <c r="F155" s="8"/>
      <c r="G155" s="8"/>
      <c r="H155" s="192"/>
      <c r="I155" s="102" t="e">
        <f>SUM(K155+M155+O155)</f>
        <v>#REF!</v>
      </c>
      <c r="J155" s="103" t="str">
        <f>"(15)"</f>
        <v>(15)</v>
      </c>
      <c r="K155" s="97" t="e">
        <f>SUM(K150*1.2)</f>
        <v>#REF!</v>
      </c>
      <c r="L155" s="98" t="str">
        <f>"(15)"</f>
        <v>(15)</v>
      </c>
      <c r="M155" s="102" t="e">
        <f>SUM(M150*1.22)</f>
        <v>#REF!</v>
      </c>
      <c r="N155" s="103" t="str">
        <f>"(15)"</f>
        <v>(15)</v>
      </c>
      <c r="O155" s="102" t="e">
        <f>SUM(O150*1.22)</f>
        <v>#REF!</v>
      </c>
      <c r="P155" s="87" t="str">
        <f>"(15)"</f>
        <v>(15)</v>
      </c>
    </row>
    <row r="156" spans="2:16" ht="16.5" x14ac:dyDescent="0.35">
      <c r="B156" s="145"/>
      <c r="C156" s="8"/>
      <c r="D156" s="8"/>
      <c r="E156" s="8"/>
      <c r="F156" s="8"/>
      <c r="G156" s="8"/>
      <c r="H156" s="192"/>
      <c r="I156" s="102" t="e">
        <f>SUM(K156+M156+O156)</f>
        <v>#REF!</v>
      </c>
      <c r="J156" s="103" t="str">
        <f>"(50)"</f>
        <v>(50)</v>
      </c>
      <c r="K156" s="97" t="e">
        <f>K151</f>
        <v>#REF!</v>
      </c>
      <c r="L156" s="98" t="str">
        <f>"(50)"</f>
        <v>(50)</v>
      </c>
      <c r="M156" s="102" t="e">
        <f>M151</f>
        <v>#REF!</v>
      </c>
      <c r="N156" s="103" t="str">
        <f>"(50)"</f>
        <v>(50)</v>
      </c>
      <c r="O156" s="102" t="e">
        <f>O151</f>
        <v>#REF!</v>
      </c>
      <c r="P156" s="87" t="str">
        <f>"(50)"</f>
        <v>(50)</v>
      </c>
    </row>
    <row r="157" spans="2:16" ht="17" thickBot="1" x14ac:dyDescent="0.4">
      <c r="B157" s="160"/>
      <c r="C157" s="161"/>
      <c r="D157" s="161"/>
      <c r="E157" s="161"/>
      <c r="F157" s="161"/>
      <c r="G157" s="161"/>
      <c r="H157" s="193"/>
      <c r="I157" s="130" t="e">
        <f>SUM(K157+M157+O157)</f>
        <v>#REF!</v>
      </c>
      <c r="J157" s="131" t="str">
        <f>"(55)"</f>
        <v>(55)</v>
      </c>
      <c r="K157" s="93" t="e">
        <f>SUM(K152*1.2)</f>
        <v>#REF!</v>
      </c>
      <c r="L157" s="94" t="str">
        <f>"(55)"</f>
        <v>(55)</v>
      </c>
      <c r="M157" s="130" t="e">
        <f>SUM(M152*1.22)</f>
        <v>#REF!</v>
      </c>
      <c r="N157" s="131" t="str">
        <f>"(55)"</f>
        <v>(55)</v>
      </c>
      <c r="O157" s="130" t="e">
        <f>SUM(O152*1.22)</f>
        <v>#REF!</v>
      </c>
      <c r="P157" s="96" t="str">
        <f>"(55)"</f>
        <v>(55)</v>
      </c>
    </row>
    <row r="158" spans="2:16" ht="16.5" x14ac:dyDescent="0.35">
      <c r="B158" s="187" t="e">
        <f>'kuni 2025 detsember tegevuskava'!#REF!&amp;"/"&amp;'kuni 2025 detsember tegevuskava'!#REF!</f>
        <v>#REF!</v>
      </c>
      <c r="C158" s="156" t="e">
        <f>'kuni 2025 detsember tegevuskava'!#REF!</f>
        <v>#REF!</v>
      </c>
      <c r="D158" s="156" t="e">
        <f>'kuni 2025 detsember tegevuskava'!#REF!</f>
        <v>#REF!</v>
      </c>
      <c r="E158" s="156" t="e">
        <f>'kuni 2025 detsember tegevuskava'!#REF!</f>
        <v>#REF!</v>
      </c>
      <c r="F158" s="156" t="e">
        <f>'kuni 2025 detsember tegevuskava'!#REF!&amp;"/"</f>
        <v>#REF!</v>
      </c>
      <c r="G158" s="156" t="e" cm="1">
        <f t="array" ref="G158">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58" s="194" t="e" cm="1">
        <f t="array" ref="H158">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58" s="132" t="e">
        <f>SUM(I159:I161)</f>
        <v>#REF!</v>
      </c>
      <c r="J158" s="133"/>
      <c r="K158" s="81" t="e">
        <f>SUM(K159:K161)</f>
        <v>#REF!</v>
      </c>
      <c r="L158" s="83"/>
      <c r="M158" s="132" t="e">
        <f>SUM(M159:M161)</f>
        <v>#REF!</v>
      </c>
      <c r="N158" s="133"/>
      <c r="O158" s="81" t="e">
        <f>SUM(O159:O161)</f>
        <v>#REF!</v>
      </c>
      <c r="P158" s="85"/>
    </row>
    <row r="159" spans="2:16" ht="16.5" x14ac:dyDescent="0.35">
      <c r="B159" s="145"/>
      <c r="C159" s="8"/>
      <c r="D159" s="8"/>
      <c r="E159" s="8"/>
      <c r="F159" s="8"/>
      <c r="G159" s="8"/>
      <c r="H159" s="192"/>
      <c r="I159" s="102" t="e">
        <f>SUM(K159+M159+O159)</f>
        <v>#REF!</v>
      </c>
      <c r="J159" s="103" t="str">
        <f>"(15)"</f>
        <v>(15)</v>
      </c>
      <c r="K159" s="97" t="e">
        <f>'kuni 2025 detsember tegevuskava'!#REF!</f>
        <v>#REF!</v>
      </c>
      <c r="L159" s="98" t="str">
        <f>"(15)"</f>
        <v>(15)</v>
      </c>
      <c r="M159" s="102" t="e">
        <f>'kuni 2025 detsember tegevuskava'!#REF!</f>
        <v>#REF!</v>
      </c>
      <c r="N159" s="103" t="str">
        <f>"(15)"</f>
        <v>(15)</v>
      </c>
      <c r="O159" s="97" t="e">
        <f>'kuni 2025 detsember tegevuskava'!#REF!</f>
        <v>#REF!</v>
      </c>
      <c r="P159" s="87" t="str">
        <f>"(15)"</f>
        <v>(15)</v>
      </c>
    </row>
    <row r="160" spans="2:16" ht="16.5" x14ac:dyDescent="0.35">
      <c r="B160" s="145"/>
      <c r="C160" s="8"/>
      <c r="D160" s="8"/>
      <c r="E160" s="8"/>
      <c r="F160" s="8"/>
      <c r="G160" s="8"/>
      <c r="H160" s="192"/>
      <c r="I160" s="102" t="e">
        <f>SUM(K160+M160+O160)</f>
        <v>#REF!</v>
      </c>
      <c r="J160" s="103" t="str">
        <f>"(50)"</f>
        <v>(50)</v>
      </c>
      <c r="K160" s="97" t="e">
        <f>'kuni 2025 detsember tegevuskava'!#REF!</f>
        <v>#REF!</v>
      </c>
      <c r="L160" s="98" t="str">
        <f>"(50)"</f>
        <v>(50)</v>
      </c>
      <c r="M160" s="102" t="e">
        <f>'kuni 2025 detsember tegevuskava'!#REF!</f>
        <v>#REF!</v>
      </c>
      <c r="N160" s="103" t="str">
        <f>"(50)"</f>
        <v>(50)</v>
      </c>
      <c r="O160" s="97" t="e">
        <f>'kuni 2025 detsember tegevuskava'!#REF!</f>
        <v>#REF!</v>
      </c>
      <c r="P160" s="87" t="str">
        <f>"(50)"</f>
        <v>(50)</v>
      </c>
    </row>
    <row r="161" spans="2:16" ht="16.5" x14ac:dyDescent="0.35">
      <c r="B161" s="145"/>
      <c r="C161" s="8"/>
      <c r="D161" s="8"/>
      <c r="E161" s="8"/>
      <c r="F161" s="8"/>
      <c r="G161" s="8"/>
      <c r="H161" s="192"/>
      <c r="I161" s="102" t="e">
        <f>SUM(K161+M161+O161)</f>
        <v>#REF!</v>
      </c>
      <c r="J161" s="105" t="str">
        <f>"(55)"</f>
        <v>(55)</v>
      </c>
      <c r="K161" s="99" t="e">
        <f>'kuni 2025 detsember tegevuskava'!#REF!</f>
        <v>#REF!</v>
      </c>
      <c r="L161" s="88" t="str">
        <f>"(55)"</f>
        <v>(55)</v>
      </c>
      <c r="M161" s="104" t="e">
        <f>'kuni 2025 detsember tegevuskava'!#REF!</f>
        <v>#REF!</v>
      </c>
      <c r="N161" s="105" t="str">
        <f>"(55)"</f>
        <v>(55)</v>
      </c>
      <c r="O161" s="99" t="e">
        <f>'kuni 2025 detsember tegevuskava'!#REF!</f>
        <v>#REF!</v>
      </c>
      <c r="P161" s="90" t="str">
        <f>"(55)"</f>
        <v>(55)</v>
      </c>
    </row>
    <row r="162" spans="2:16" ht="16.5" x14ac:dyDescent="0.35">
      <c r="B162" s="145"/>
      <c r="C162" s="8"/>
      <c r="D162" s="8"/>
      <c r="E162" s="8"/>
      <c r="F162" s="8"/>
      <c r="G162" s="8"/>
      <c r="H162" s="192"/>
      <c r="I162" s="183" t="s">
        <v>553</v>
      </c>
      <c r="J162" s="8"/>
      <c r="K162" s="8"/>
      <c r="L162" s="8"/>
      <c r="M162" s="8"/>
      <c r="N162" s="8"/>
      <c r="O162" s="8"/>
      <c r="P162" s="159"/>
    </row>
    <row r="163" spans="2:16" ht="16.5" x14ac:dyDescent="0.35">
      <c r="B163" s="145"/>
      <c r="C163" s="8"/>
      <c r="D163" s="8"/>
      <c r="E163" s="8"/>
      <c r="F163" s="8"/>
      <c r="G163" s="8"/>
      <c r="H163" s="192"/>
      <c r="I163" s="179" t="e">
        <f>SUM(I164:I166)</f>
        <v>#REF!</v>
      </c>
      <c r="J163" s="101"/>
      <c r="K163" s="91" t="e">
        <f>SUM(K164:K166)</f>
        <v>#REF!</v>
      </c>
      <c r="L163" s="92"/>
      <c r="M163" s="100" t="e">
        <f>SUM(M164:M166)</f>
        <v>#REF!</v>
      </c>
      <c r="N163" s="106"/>
      <c r="O163" s="100" t="e">
        <f>SUM(O164:O166)</f>
        <v>#REF!</v>
      </c>
      <c r="P163" s="134"/>
    </row>
    <row r="164" spans="2:16" ht="16.5" x14ac:dyDescent="0.35">
      <c r="B164" s="145"/>
      <c r="C164" s="8"/>
      <c r="D164" s="8"/>
      <c r="E164" s="8"/>
      <c r="F164" s="8"/>
      <c r="G164" s="8"/>
      <c r="H164" s="192"/>
      <c r="I164" s="102" t="e">
        <f>SUM(K164+M164+O164)</f>
        <v>#REF!</v>
      </c>
      <c r="J164" s="103" t="str">
        <f>"(15)"</f>
        <v>(15)</v>
      </c>
      <c r="K164" s="97" t="e">
        <f>SUM(K159*1.2)</f>
        <v>#REF!</v>
      </c>
      <c r="L164" s="98" t="str">
        <f>"(15)"</f>
        <v>(15)</v>
      </c>
      <c r="M164" s="102" t="e">
        <f>SUM(M159*1.22)</f>
        <v>#REF!</v>
      </c>
      <c r="N164" s="103" t="str">
        <f>"(15)"</f>
        <v>(15)</v>
      </c>
      <c r="O164" s="102" t="e">
        <f>SUM(O159*1.22)</f>
        <v>#REF!</v>
      </c>
      <c r="P164" s="87" t="str">
        <f>"(15)"</f>
        <v>(15)</v>
      </c>
    </row>
    <row r="165" spans="2:16" ht="16.5" x14ac:dyDescent="0.35">
      <c r="B165" s="145"/>
      <c r="C165" s="8"/>
      <c r="D165" s="8"/>
      <c r="E165" s="8"/>
      <c r="F165" s="8"/>
      <c r="G165" s="8"/>
      <c r="H165" s="192"/>
      <c r="I165" s="102" t="e">
        <f>SUM(K165+M165+O165)</f>
        <v>#REF!</v>
      </c>
      <c r="J165" s="103" t="str">
        <f>"(50)"</f>
        <v>(50)</v>
      </c>
      <c r="K165" s="97" t="e">
        <f>K160</f>
        <v>#REF!</v>
      </c>
      <c r="L165" s="98" t="str">
        <f>"(50)"</f>
        <v>(50)</v>
      </c>
      <c r="M165" s="102" t="e">
        <f>M160</f>
        <v>#REF!</v>
      </c>
      <c r="N165" s="103" t="str">
        <f>"(50)"</f>
        <v>(50)</v>
      </c>
      <c r="O165" s="102" t="e">
        <f>O160</f>
        <v>#REF!</v>
      </c>
      <c r="P165" s="87" t="str">
        <f>"(50)"</f>
        <v>(50)</v>
      </c>
    </row>
    <row r="166" spans="2:16" ht="17" thickBot="1" x14ac:dyDescent="0.4">
      <c r="B166" s="160"/>
      <c r="C166" s="161"/>
      <c r="D166" s="161"/>
      <c r="E166" s="161"/>
      <c r="F166" s="161"/>
      <c r="G166" s="161"/>
      <c r="H166" s="193"/>
      <c r="I166" s="130" t="e">
        <f>SUM(K166+M166+O166)</f>
        <v>#REF!</v>
      </c>
      <c r="J166" s="131" t="str">
        <f>"(55)"</f>
        <v>(55)</v>
      </c>
      <c r="K166" s="93" t="e">
        <f>SUM(K161*1.2)</f>
        <v>#REF!</v>
      </c>
      <c r="L166" s="94" t="str">
        <f>"(55)"</f>
        <v>(55)</v>
      </c>
      <c r="M166" s="130" t="e">
        <f>SUM(M161*1.22)</f>
        <v>#REF!</v>
      </c>
      <c r="N166" s="131" t="str">
        <f>"(55)"</f>
        <v>(55)</v>
      </c>
      <c r="O166" s="130" t="e">
        <f>SUM(O161*1.22)</f>
        <v>#REF!</v>
      </c>
      <c r="P166" s="96" t="str">
        <f>"(55)"</f>
        <v>(55)</v>
      </c>
    </row>
    <row r="167" spans="2:16" ht="16.5" x14ac:dyDescent="0.35">
      <c r="B167" s="187" t="e">
        <f>'kuni 2025 detsember tegevuskava'!#REF!&amp;"/"&amp;'kuni 2025 detsember tegevuskava'!#REF!</f>
        <v>#REF!</v>
      </c>
      <c r="C167" s="156" t="e">
        <f>'kuni 2025 detsember tegevuskava'!#REF!</f>
        <v>#REF!</v>
      </c>
      <c r="D167" s="156" t="e">
        <f>'kuni 2025 detsember tegevuskava'!#REF!</f>
        <v>#REF!</v>
      </c>
      <c r="E167" s="156" t="e">
        <f>'kuni 2025 detsember tegevuskava'!#REF!</f>
        <v>#REF!</v>
      </c>
      <c r="F167" s="156" t="e">
        <f>'kuni 2025 detsember tegevuskava'!#REF!&amp;"/"</f>
        <v>#REF!</v>
      </c>
      <c r="G167" s="156" t="e" cm="1">
        <f t="array" ref="G167">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67" s="194" t="e" cm="1">
        <f t="array" ref="H167">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67" s="132" t="e">
        <f>SUM(I168:I170)</f>
        <v>#REF!</v>
      </c>
      <c r="J167" s="133"/>
      <c r="K167" s="81" t="e">
        <f>SUM(K168:K170)</f>
        <v>#REF!</v>
      </c>
      <c r="L167" s="83"/>
      <c r="M167" s="132" t="e">
        <f>SUM(M168:M170)</f>
        <v>#REF!</v>
      </c>
      <c r="N167" s="133"/>
      <c r="O167" s="81" t="e">
        <f>SUM(O168:O170)</f>
        <v>#REF!</v>
      </c>
      <c r="P167" s="85"/>
    </row>
    <row r="168" spans="2:16" ht="16.5" x14ac:dyDescent="0.35">
      <c r="B168" s="145"/>
      <c r="C168" s="8"/>
      <c r="D168" s="8"/>
      <c r="E168" s="8"/>
      <c r="F168" s="8"/>
      <c r="G168" s="8"/>
      <c r="H168" s="192"/>
      <c r="I168" s="102" t="e">
        <f>SUM(K168+M168+O168)</f>
        <v>#REF!</v>
      </c>
      <c r="J168" s="103" t="str">
        <f>"(15)"</f>
        <v>(15)</v>
      </c>
      <c r="K168" s="97" t="e">
        <f>'kuni 2025 detsember tegevuskava'!#REF!</f>
        <v>#REF!</v>
      </c>
      <c r="L168" s="98" t="str">
        <f>"(15)"</f>
        <v>(15)</v>
      </c>
      <c r="M168" s="102" t="e">
        <f>'kuni 2025 detsember tegevuskava'!#REF!</f>
        <v>#REF!</v>
      </c>
      <c r="N168" s="103" t="str">
        <f>"(15)"</f>
        <v>(15)</v>
      </c>
      <c r="O168" s="97" t="e">
        <f>'kuni 2025 detsember tegevuskava'!#REF!</f>
        <v>#REF!</v>
      </c>
      <c r="P168" s="87" t="str">
        <f>"(15)"</f>
        <v>(15)</v>
      </c>
    </row>
    <row r="169" spans="2:16" ht="16.5" x14ac:dyDescent="0.35">
      <c r="B169" s="145"/>
      <c r="C169" s="8"/>
      <c r="D169" s="8"/>
      <c r="E169" s="8"/>
      <c r="F169" s="8"/>
      <c r="G169" s="8"/>
      <c r="H169" s="192"/>
      <c r="I169" s="102" t="e">
        <f>SUM(K169+M169+O169)</f>
        <v>#REF!</v>
      </c>
      <c r="J169" s="103" t="str">
        <f>"(50)"</f>
        <v>(50)</v>
      </c>
      <c r="K169" s="97" t="e">
        <f>'kuni 2025 detsember tegevuskava'!#REF!</f>
        <v>#REF!</v>
      </c>
      <c r="L169" s="98" t="str">
        <f>"(50)"</f>
        <v>(50)</v>
      </c>
      <c r="M169" s="102" t="e">
        <f>'kuni 2025 detsember tegevuskava'!#REF!</f>
        <v>#REF!</v>
      </c>
      <c r="N169" s="103" t="str">
        <f>"(50)"</f>
        <v>(50)</v>
      </c>
      <c r="O169" s="97" t="e">
        <f>'kuni 2025 detsember tegevuskava'!#REF!</f>
        <v>#REF!</v>
      </c>
      <c r="P169" s="87" t="str">
        <f>"(50)"</f>
        <v>(50)</v>
      </c>
    </row>
    <row r="170" spans="2:16" ht="16.5" x14ac:dyDescent="0.35">
      <c r="B170" s="145"/>
      <c r="C170" s="8"/>
      <c r="D170" s="8"/>
      <c r="E170" s="8"/>
      <c r="F170" s="8"/>
      <c r="G170" s="8"/>
      <c r="H170" s="192"/>
      <c r="I170" s="102" t="e">
        <f>SUM(K170+M170+O170)</f>
        <v>#REF!</v>
      </c>
      <c r="J170" s="105" t="str">
        <f>"(55)"</f>
        <v>(55)</v>
      </c>
      <c r="K170" s="99" t="e">
        <f>'kuni 2025 detsember tegevuskava'!#REF!</f>
        <v>#REF!</v>
      </c>
      <c r="L170" s="88" t="str">
        <f>"(55)"</f>
        <v>(55)</v>
      </c>
      <c r="M170" s="104" t="e">
        <f>'kuni 2025 detsember tegevuskava'!#REF!</f>
        <v>#REF!</v>
      </c>
      <c r="N170" s="105" t="str">
        <f>"(55)"</f>
        <v>(55)</v>
      </c>
      <c r="O170" s="99" t="e">
        <f>'kuni 2025 detsember tegevuskava'!#REF!</f>
        <v>#REF!</v>
      </c>
      <c r="P170" s="90" t="str">
        <f>"(55)"</f>
        <v>(55)</v>
      </c>
    </row>
    <row r="171" spans="2:16" ht="16.5" x14ac:dyDescent="0.35">
      <c r="B171" s="145"/>
      <c r="C171" s="8"/>
      <c r="D171" s="8"/>
      <c r="E171" s="8"/>
      <c r="F171" s="8"/>
      <c r="G171" s="8"/>
      <c r="H171" s="192"/>
      <c r="I171" s="183" t="s">
        <v>553</v>
      </c>
      <c r="J171" s="8"/>
      <c r="K171" s="8"/>
      <c r="L171" s="8"/>
      <c r="M171" s="8"/>
      <c r="N171" s="8"/>
      <c r="O171" s="8"/>
      <c r="P171" s="159"/>
    </row>
    <row r="172" spans="2:16" ht="16.5" x14ac:dyDescent="0.35">
      <c r="B172" s="145"/>
      <c r="C172" s="8"/>
      <c r="D172" s="8"/>
      <c r="E172" s="8"/>
      <c r="F172" s="8"/>
      <c r="G172" s="8"/>
      <c r="H172" s="192"/>
      <c r="I172" s="179" t="e">
        <f>SUM(I173:I175)</f>
        <v>#REF!</v>
      </c>
      <c r="J172" s="101"/>
      <c r="K172" s="91" t="e">
        <f>SUM(K173:K175)</f>
        <v>#REF!</v>
      </c>
      <c r="L172" s="92"/>
      <c r="M172" s="100" t="e">
        <f>SUM(M173:M175)</f>
        <v>#REF!</v>
      </c>
      <c r="N172" s="106"/>
      <c r="O172" s="100" t="e">
        <f>SUM(O173:O175)</f>
        <v>#REF!</v>
      </c>
      <c r="P172" s="134"/>
    </row>
    <row r="173" spans="2:16" ht="16.5" x14ac:dyDescent="0.35">
      <c r="B173" s="145"/>
      <c r="C173" s="8"/>
      <c r="D173" s="8"/>
      <c r="E173" s="8"/>
      <c r="F173" s="8"/>
      <c r="G173" s="8"/>
      <c r="H173" s="192"/>
      <c r="I173" s="102" t="e">
        <f>SUM(K173+M173+O173)</f>
        <v>#REF!</v>
      </c>
      <c r="J173" s="103" t="str">
        <f>"(15)"</f>
        <v>(15)</v>
      </c>
      <c r="K173" s="97" t="e">
        <f>SUM(K168*1.2)</f>
        <v>#REF!</v>
      </c>
      <c r="L173" s="98" t="str">
        <f>"(15)"</f>
        <v>(15)</v>
      </c>
      <c r="M173" s="102" t="e">
        <f>SUM(M168*1.22)</f>
        <v>#REF!</v>
      </c>
      <c r="N173" s="103" t="str">
        <f>"(15)"</f>
        <v>(15)</v>
      </c>
      <c r="O173" s="102" t="e">
        <f>SUM(O168*1.22)</f>
        <v>#REF!</v>
      </c>
      <c r="P173" s="87" t="str">
        <f>"(15)"</f>
        <v>(15)</v>
      </c>
    </row>
    <row r="174" spans="2:16" ht="16.5" x14ac:dyDescent="0.35">
      <c r="B174" s="145"/>
      <c r="C174" s="8"/>
      <c r="D174" s="8"/>
      <c r="E174" s="8"/>
      <c r="F174" s="8"/>
      <c r="G174" s="8"/>
      <c r="H174" s="192"/>
      <c r="I174" s="102" t="e">
        <f>SUM(K174+M174+O174)</f>
        <v>#REF!</v>
      </c>
      <c r="J174" s="103" t="str">
        <f>"(50)"</f>
        <v>(50)</v>
      </c>
      <c r="K174" s="97" t="e">
        <f>K169</f>
        <v>#REF!</v>
      </c>
      <c r="L174" s="98" t="str">
        <f>"(50)"</f>
        <v>(50)</v>
      </c>
      <c r="M174" s="102" t="e">
        <f>M169</f>
        <v>#REF!</v>
      </c>
      <c r="N174" s="103" t="str">
        <f>"(50)"</f>
        <v>(50)</v>
      </c>
      <c r="O174" s="102" t="e">
        <f>O169</f>
        <v>#REF!</v>
      </c>
      <c r="P174" s="87" t="str">
        <f>"(50)"</f>
        <v>(50)</v>
      </c>
    </row>
    <row r="175" spans="2:16" ht="17" thickBot="1" x14ac:dyDescent="0.4">
      <c r="B175" s="160"/>
      <c r="C175" s="161"/>
      <c r="D175" s="161"/>
      <c r="E175" s="161"/>
      <c r="F175" s="161"/>
      <c r="G175" s="161"/>
      <c r="H175" s="193"/>
      <c r="I175" s="130" t="e">
        <f>SUM(K175+M175+O175)</f>
        <v>#REF!</v>
      </c>
      <c r="J175" s="131" t="str">
        <f>"(55)"</f>
        <v>(55)</v>
      </c>
      <c r="K175" s="93" t="e">
        <f>SUM(K170*1.2)</f>
        <v>#REF!</v>
      </c>
      <c r="L175" s="94" t="str">
        <f>"(55)"</f>
        <v>(55)</v>
      </c>
      <c r="M175" s="130" t="e">
        <f>SUM(M170*1.22)</f>
        <v>#REF!</v>
      </c>
      <c r="N175" s="131" t="str">
        <f>"(55)"</f>
        <v>(55)</v>
      </c>
      <c r="O175" s="130" t="e">
        <f>SUM(O170*1.22)</f>
        <v>#REF!</v>
      </c>
      <c r="P175" s="96" t="str">
        <f>"(55)"</f>
        <v>(55)</v>
      </c>
    </row>
    <row r="176" spans="2:16" ht="16.5" x14ac:dyDescent="0.35">
      <c r="B176" s="187" t="e">
        <f>'kuni 2025 detsember tegevuskava'!#REF!&amp;"/"&amp;'kuni 2025 detsember tegevuskava'!#REF!</f>
        <v>#REF!</v>
      </c>
      <c r="C176" s="156" t="e">
        <f>'kuni 2025 detsember tegevuskava'!#REF!</f>
        <v>#REF!</v>
      </c>
      <c r="D176" s="156" t="e">
        <f>'kuni 2025 detsember tegevuskava'!#REF!</f>
        <v>#REF!</v>
      </c>
      <c r="E176" s="156" t="e">
        <f>'kuni 2025 detsember tegevuskava'!#REF!</f>
        <v>#REF!</v>
      </c>
      <c r="F176" s="156" t="e">
        <f>'kuni 2025 detsember tegevuskava'!#REF!&amp;"/"</f>
        <v>#REF!</v>
      </c>
      <c r="G176" s="156" t="e" cm="1">
        <f t="array" ref="G176">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76" s="194" t="e" cm="1">
        <f t="array" ref="H176">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76" s="132" t="e">
        <f>SUM(I177:I179)</f>
        <v>#REF!</v>
      </c>
      <c r="J176" s="133"/>
      <c r="K176" s="81" t="e">
        <f>SUM(K177:K179)</f>
        <v>#REF!</v>
      </c>
      <c r="L176" s="83"/>
      <c r="M176" s="132" t="e">
        <f>SUM(M177:M179)</f>
        <v>#REF!</v>
      </c>
      <c r="N176" s="133"/>
      <c r="O176" s="81" t="e">
        <f>SUM(O177:O179)</f>
        <v>#REF!</v>
      </c>
      <c r="P176" s="85"/>
    </row>
    <row r="177" spans="2:16" ht="16.5" x14ac:dyDescent="0.35">
      <c r="B177" s="145"/>
      <c r="C177" s="8"/>
      <c r="D177" s="8"/>
      <c r="E177" s="8"/>
      <c r="F177" s="8"/>
      <c r="G177" s="8"/>
      <c r="H177" s="192"/>
      <c r="I177" s="102" t="e">
        <f>SUM(K177+M177+O177)</f>
        <v>#REF!</v>
      </c>
      <c r="J177" s="103" t="str">
        <f>"(15)"</f>
        <v>(15)</v>
      </c>
      <c r="K177" s="97" t="e">
        <f>'kuni 2025 detsember tegevuskava'!#REF!</f>
        <v>#REF!</v>
      </c>
      <c r="L177" s="98" t="str">
        <f>"(15)"</f>
        <v>(15)</v>
      </c>
      <c r="M177" s="102" t="e">
        <f>'kuni 2025 detsember tegevuskava'!#REF!</f>
        <v>#REF!</v>
      </c>
      <c r="N177" s="103" t="str">
        <f>"(15)"</f>
        <v>(15)</v>
      </c>
      <c r="O177" s="97" t="e">
        <f>'kuni 2025 detsember tegevuskava'!#REF!</f>
        <v>#REF!</v>
      </c>
      <c r="P177" s="87" t="str">
        <f>"(15)"</f>
        <v>(15)</v>
      </c>
    </row>
    <row r="178" spans="2:16" ht="16.5" x14ac:dyDescent="0.35">
      <c r="B178" s="145"/>
      <c r="C178" s="8"/>
      <c r="D178" s="8"/>
      <c r="E178" s="8"/>
      <c r="F178" s="8"/>
      <c r="G178" s="8"/>
      <c r="H178" s="192"/>
      <c r="I178" s="102" t="e">
        <f>SUM(K178+M178+O178)</f>
        <v>#REF!</v>
      </c>
      <c r="J178" s="103" t="str">
        <f>"(50)"</f>
        <v>(50)</v>
      </c>
      <c r="K178" s="97" t="e">
        <f>'kuni 2025 detsember tegevuskava'!#REF!</f>
        <v>#REF!</v>
      </c>
      <c r="L178" s="98" t="str">
        <f>"(50)"</f>
        <v>(50)</v>
      </c>
      <c r="M178" s="102" t="e">
        <f>'kuni 2025 detsember tegevuskava'!#REF!</f>
        <v>#REF!</v>
      </c>
      <c r="N178" s="103" t="str">
        <f>"(50)"</f>
        <v>(50)</v>
      </c>
      <c r="O178" s="97" t="e">
        <f>'kuni 2025 detsember tegevuskava'!#REF!</f>
        <v>#REF!</v>
      </c>
      <c r="P178" s="87" t="str">
        <f>"(50)"</f>
        <v>(50)</v>
      </c>
    </row>
    <row r="179" spans="2:16" ht="16.5" x14ac:dyDescent="0.35">
      <c r="B179" s="145"/>
      <c r="C179" s="8"/>
      <c r="D179" s="8"/>
      <c r="E179" s="8"/>
      <c r="F179" s="8"/>
      <c r="G179" s="8"/>
      <c r="H179" s="192"/>
      <c r="I179" s="102" t="e">
        <f>SUM(K179+M179+O179)</f>
        <v>#REF!</v>
      </c>
      <c r="J179" s="105" t="str">
        <f>"(55)"</f>
        <v>(55)</v>
      </c>
      <c r="K179" s="99" t="e">
        <f>'kuni 2025 detsember tegevuskava'!#REF!</f>
        <v>#REF!</v>
      </c>
      <c r="L179" s="88" t="str">
        <f>"(55)"</f>
        <v>(55)</v>
      </c>
      <c r="M179" s="104" t="e">
        <f>'kuni 2025 detsember tegevuskava'!#REF!</f>
        <v>#REF!</v>
      </c>
      <c r="N179" s="105" t="str">
        <f>"(55)"</f>
        <v>(55)</v>
      </c>
      <c r="O179" s="99" t="e">
        <f>'kuni 2025 detsember tegevuskava'!#REF!</f>
        <v>#REF!</v>
      </c>
      <c r="P179" s="90" t="str">
        <f>"(55)"</f>
        <v>(55)</v>
      </c>
    </row>
    <row r="180" spans="2:16" ht="16.5" x14ac:dyDescent="0.35">
      <c r="B180" s="145"/>
      <c r="C180" s="8"/>
      <c r="D180" s="8"/>
      <c r="E180" s="8"/>
      <c r="F180" s="8"/>
      <c r="G180" s="8"/>
      <c r="H180" s="192"/>
      <c r="I180" s="183" t="s">
        <v>553</v>
      </c>
      <c r="J180" s="8"/>
      <c r="K180" s="8"/>
      <c r="L180" s="8"/>
      <c r="M180" s="8"/>
      <c r="N180" s="8"/>
      <c r="O180" s="8"/>
      <c r="P180" s="159"/>
    </row>
    <row r="181" spans="2:16" ht="16.5" x14ac:dyDescent="0.35">
      <c r="B181" s="145"/>
      <c r="C181" s="8"/>
      <c r="D181" s="8"/>
      <c r="E181" s="8"/>
      <c r="F181" s="8"/>
      <c r="G181" s="8"/>
      <c r="H181" s="192"/>
      <c r="I181" s="179" t="e">
        <f>SUM(I182:I184)</f>
        <v>#REF!</v>
      </c>
      <c r="J181" s="101"/>
      <c r="K181" s="91" t="e">
        <f>SUM(K182:K184)</f>
        <v>#REF!</v>
      </c>
      <c r="L181" s="92"/>
      <c r="M181" s="100" t="e">
        <f>SUM(M182:M184)</f>
        <v>#REF!</v>
      </c>
      <c r="N181" s="106"/>
      <c r="O181" s="100" t="e">
        <f>SUM(O182:O184)</f>
        <v>#REF!</v>
      </c>
      <c r="P181" s="134"/>
    </row>
    <row r="182" spans="2:16" ht="16.5" x14ac:dyDescent="0.35">
      <c r="B182" s="145"/>
      <c r="C182" s="8"/>
      <c r="D182" s="8"/>
      <c r="E182" s="8"/>
      <c r="F182" s="8"/>
      <c r="G182" s="8"/>
      <c r="H182" s="192"/>
      <c r="I182" s="102" t="e">
        <f>SUM(K182+M182+O182)</f>
        <v>#REF!</v>
      </c>
      <c r="J182" s="103" t="str">
        <f>"(15)"</f>
        <v>(15)</v>
      </c>
      <c r="K182" s="97" t="e">
        <f>SUM(K177*1.2)</f>
        <v>#REF!</v>
      </c>
      <c r="L182" s="98" t="str">
        <f>"(15)"</f>
        <v>(15)</v>
      </c>
      <c r="M182" s="102" t="e">
        <f>SUM(M177*1.22)</f>
        <v>#REF!</v>
      </c>
      <c r="N182" s="103" t="str">
        <f>"(15)"</f>
        <v>(15)</v>
      </c>
      <c r="O182" s="102" t="e">
        <f>SUM(O177*1.22)</f>
        <v>#REF!</v>
      </c>
      <c r="P182" s="87" t="str">
        <f>"(15)"</f>
        <v>(15)</v>
      </c>
    </row>
    <row r="183" spans="2:16" ht="16.5" x14ac:dyDescent="0.35">
      <c r="B183" s="145"/>
      <c r="C183" s="8"/>
      <c r="D183" s="8"/>
      <c r="E183" s="8"/>
      <c r="F183" s="8"/>
      <c r="G183" s="8"/>
      <c r="H183" s="192"/>
      <c r="I183" s="102" t="e">
        <f>SUM(K183+M183+O183)</f>
        <v>#REF!</v>
      </c>
      <c r="J183" s="103" t="str">
        <f>"(50)"</f>
        <v>(50)</v>
      </c>
      <c r="K183" s="97" t="e">
        <f>K178</f>
        <v>#REF!</v>
      </c>
      <c r="L183" s="98" t="str">
        <f>"(50)"</f>
        <v>(50)</v>
      </c>
      <c r="M183" s="102" t="e">
        <f>M178</f>
        <v>#REF!</v>
      </c>
      <c r="N183" s="103" t="str">
        <f>"(50)"</f>
        <v>(50)</v>
      </c>
      <c r="O183" s="102" t="e">
        <f>O178</f>
        <v>#REF!</v>
      </c>
      <c r="P183" s="87" t="str">
        <f>"(50)"</f>
        <v>(50)</v>
      </c>
    </row>
    <row r="184" spans="2:16" ht="17" thickBot="1" x14ac:dyDescent="0.4">
      <c r="B184" s="145"/>
      <c r="C184" s="8"/>
      <c r="D184" s="8"/>
      <c r="E184" s="8"/>
      <c r="F184" s="8"/>
      <c r="G184" s="8"/>
      <c r="H184" s="192"/>
      <c r="I184" s="102" t="e">
        <f>SUM(K184+M184+O184)</f>
        <v>#REF!</v>
      </c>
      <c r="J184" s="103" t="str">
        <f>"(55)"</f>
        <v>(55)</v>
      </c>
      <c r="K184" s="97" t="e">
        <f>SUM(K179*1.2)</f>
        <v>#REF!</v>
      </c>
      <c r="L184" s="98" t="str">
        <f>"(55)"</f>
        <v>(55)</v>
      </c>
      <c r="M184" s="102" t="e">
        <f>SUM(M179*1.22)</f>
        <v>#REF!</v>
      </c>
      <c r="N184" s="103" t="str">
        <f>"(55)"</f>
        <v>(55)</v>
      </c>
      <c r="O184" s="102" t="e">
        <f>SUM(O179*1.22)</f>
        <v>#REF!</v>
      </c>
      <c r="P184" s="87" t="str">
        <f>"(55)"</f>
        <v>(55)</v>
      </c>
    </row>
    <row r="185" spans="2:16" ht="16.5" x14ac:dyDescent="0.35">
      <c r="B185" s="187" t="e">
        <f>'kuni 2025 detsember tegevuskava'!#REF!&amp;"/"&amp;'kuni 2025 detsember tegevuskava'!#REF!</f>
        <v>#REF!</v>
      </c>
      <c r="C185" s="156" t="e">
        <f>'kuni 2025 detsember tegevuskava'!#REF!</f>
        <v>#REF!</v>
      </c>
      <c r="D185" s="156" t="e">
        <f>'kuni 2025 detsember tegevuskava'!#REF!</f>
        <v>#REF!</v>
      </c>
      <c r="E185" s="156" t="e">
        <f>'kuni 2025 detsember tegevuskava'!#REF!</f>
        <v>#REF!</v>
      </c>
      <c r="F185" s="156" t="e">
        <f>'kuni 2025 detsember tegevuskava'!#REF!&amp;"/"</f>
        <v>#REF!</v>
      </c>
      <c r="G185" s="156" t="e" cm="1">
        <f t="array" ref="G185">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85" s="194" t="e" cm="1">
        <f t="array" ref="H185">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85" s="132" t="e">
        <f>SUM(I186:I188)</f>
        <v>#REF!</v>
      </c>
      <c r="J185" s="133"/>
      <c r="K185" s="81" t="e">
        <f>SUM(K186:K188)</f>
        <v>#REF!</v>
      </c>
      <c r="L185" s="83"/>
      <c r="M185" s="132" t="e">
        <f>SUM(M186:M188)</f>
        <v>#REF!</v>
      </c>
      <c r="N185" s="133"/>
      <c r="O185" s="81" t="e">
        <f>SUM(O186:O188)</f>
        <v>#REF!</v>
      </c>
      <c r="P185" s="85"/>
    </row>
    <row r="186" spans="2:16" ht="16.5" x14ac:dyDescent="0.35">
      <c r="B186" s="145"/>
      <c r="C186" s="8"/>
      <c r="D186" s="8"/>
      <c r="E186" s="8"/>
      <c r="F186" s="8"/>
      <c r="G186" s="8"/>
      <c r="H186" s="192"/>
      <c r="I186" s="102" t="e">
        <f>SUM(K186+M186+O186)</f>
        <v>#REF!</v>
      </c>
      <c r="J186" s="103" t="str">
        <f>"(15)"</f>
        <v>(15)</v>
      </c>
      <c r="K186" s="97" t="e">
        <f>'kuni 2025 detsember tegevuskava'!#REF!</f>
        <v>#REF!</v>
      </c>
      <c r="L186" s="98" t="str">
        <f>"(15)"</f>
        <v>(15)</v>
      </c>
      <c r="M186" s="102" t="e">
        <f>'kuni 2025 detsember tegevuskava'!#REF!</f>
        <v>#REF!</v>
      </c>
      <c r="N186" s="103" t="str">
        <f>"(15)"</f>
        <v>(15)</v>
      </c>
      <c r="O186" s="97" t="e">
        <f>'kuni 2025 detsember tegevuskava'!#REF!</f>
        <v>#REF!</v>
      </c>
      <c r="P186" s="87" t="str">
        <f>"(15)"</f>
        <v>(15)</v>
      </c>
    </row>
    <row r="187" spans="2:16" ht="16.5" x14ac:dyDescent="0.35">
      <c r="B187" s="145"/>
      <c r="C187" s="8"/>
      <c r="D187" s="8"/>
      <c r="E187" s="8"/>
      <c r="F187" s="8"/>
      <c r="G187" s="8"/>
      <c r="H187" s="192"/>
      <c r="I187" s="102" t="e">
        <f>SUM(K187+M187+O187)</f>
        <v>#REF!</v>
      </c>
      <c r="J187" s="103" t="str">
        <f>"(50)"</f>
        <v>(50)</v>
      </c>
      <c r="K187" s="97" t="e">
        <f>'kuni 2025 detsember tegevuskava'!#REF!</f>
        <v>#REF!</v>
      </c>
      <c r="L187" s="98" t="str">
        <f>"(50)"</f>
        <v>(50)</v>
      </c>
      <c r="M187" s="102" t="e">
        <f>'kuni 2025 detsember tegevuskava'!#REF!</f>
        <v>#REF!</v>
      </c>
      <c r="N187" s="103" t="str">
        <f>"(50)"</f>
        <v>(50)</v>
      </c>
      <c r="O187" s="97" t="e">
        <f>'kuni 2025 detsember tegevuskava'!#REF!</f>
        <v>#REF!</v>
      </c>
      <c r="P187" s="87" t="str">
        <f>"(50)"</f>
        <v>(50)</v>
      </c>
    </row>
    <row r="188" spans="2:16" ht="16.5" x14ac:dyDescent="0.35">
      <c r="B188" s="145"/>
      <c r="C188" s="8"/>
      <c r="D188" s="8"/>
      <c r="E188" s="8"/>
      <c r="F188" s="8"/>
      <c r="G188" s="8"/>
      <c r="H188" s="192"/>
      <c r="I188" s="104" t="e">
        <f>SUM(K188+M188+O188)</f>
        <v>#REF!</v>
      </c>
      <c r="J188" s="105" t="str">
        <f>"(55)"</f>
        <v>(55)</v>
      </c>
      <c r="K188" s="99" t="e">
        <f>'kuni 2025 detsember tegevuskava'!#REF!</f>
        <v>#REF!</v>
      </c>
      <c r="L188" s="88" t="str">
        <f>"(55)"</f>
        <v>(55)</v>
      </c>
      <c r="M188" s="104" t="e">
        <f>'kuni 2025 detsember tegevuskava'!#REF!</f>
        <v>#REF!</v>
      </c>
      <c r="N188" s="105" t="str">
        <f>"(55)"</f>
        <v>(55)</v>
      </c>
      <c r="O188" s="99" t="e">
        <f>'kuni 2025 detsember tegevuskava'!#REF!</f>
        <v>#REF!</v>
      </c>
      <c r="P188" s="90" t="str">
        <f>"(55)"</f>
        <v>(55)</v>
      </c>
    </row>
    <row r="189" spans="2:16" ht="16.5" x14ac:dyDescent="0.35">
      <c r="B189" s="145"/>
      <c r="C189" s="8"/>
      <c r="D189" s="8"/>
      <c r="E189" s="8"/>
      <c r="F189" s="8"/>
      <c r="G189" s="8"/>
      <c r="H189" s="192"/>
      <c r="I189" s="151" t="s">
        <v>553</v>
      </c>
      <c r="J189" s="8"/>
      <c r="K189" s="8"/>
      <c r="L189" s="8"/>
      <c r="M189" s="8"/>
      <c r="N189" s="8"/>
      <c r="O189" s="8"/>
      <c r="P189" s="159"/>
    </row>
    <row r="190" spans="2:16" ht="16.5" x14ac:dyDescent="0.35">
      <c r="B190" s="145"/>
      <c r="C190" s="8"/>
      <c r="D190" s="8"/>
      <c r="E190" s="8"/>
      <c r="F190" s="8"/>
      <c r="G190" s="8"/>
      <c r="H190" s="192"/>
      <c r="I190" s="100" t="e">
        <f>SUM(I191:I193)</f>
        <v>#REF!</v>
      </c>
      <c r="J190" s="101"/>
      <c r="K190" s="91" t="e">
        <f>SUM(K191:K193)</f>
        <v>#REF!</v>
      </c>
      <c r="L190" s="92"/>
      <c r="M190" s="100" t="e">
        <f>SUM(M191:M193)</f>
        <v>#REF!</v>
      </c>
      <c r="N190" s="106"/>
      <c r="O190" s="100" t="e">
        <f>SUM(O191:O193)</f>
        <v>#REF!</v>
      </c>
      <c r="P190" s="134"/>
    </row>
    <row r="191" spans="2:16" ht="16.5" x14ac:dyDescent="0.35">
      <c r="B191" s="145"/>
      <c r="C191" s="8"/>
      <c r="D191" s="8"/>
      <c r="E191" s="8"/>
      <c r="F191" s="8"/>
      <c r="G191" s="8"/>
      <c r="H191" s="192"/>
      <c r="I191" s="102" t="e">
        <f>SUM(K191+M191+O191)</f>
        <v>#REF!</v>
      </c>
      <c r="J191" s="103" t="str">
        <f>"(15)"</f>
        <v>(15)</v>
      </c>
      <c r="K191" s="97" t="e">
        <f>SUM(K186*1.2)</f>
        <v>#REF!</v>
      </c>
      <c r="L191" s="98" t="str">
        <f>"(15)"</f>
        <v>(15)</v>
      </c>
      <c r="M191" s="102" t="e">
        <f>SUM(M186*1.22)</f>
        <v>#REF!</v>
      </c>
      <c r="N191" s="103" t="str">
        <f>"(15)"</f>
        <v>(15)</v>
      </c>
      <c r="O191" s="102" t="e">
        <f>SUM(O186*1.22)</f>
        <v>#REF!</v>
      </c>
      <c r="P191" s="87" t="str">
        <f>"(15)"</f>
        <v>(15)</v>
      </c>
    </row>
    <row r="192" spans="2:16" ht="16.5" x14ac:dyDescent="0.35">
      <c r="B192" s="145"/>
      <c r="C192" s="8"/>
      <c r="D192" s="8"/>
      <c r="E192" s="8"/>
      <c r="F192" s="8"/>
      <c r="G192" s="8"/>
      <c r="H192" s="192"/>
      <c r="I192" s="102" t="e">
        <f>SUM(K192+M192+O192)</f>
        <v>#REF!</v>
      </c>
      <c r="J192" s="103" t="str">
        <f>"(50)"</f>
        <v>(50)</v>
      </c>
      <c r="K192" s="97" t="e">
        <f>K187</f>
        <v>#REF!</v>
      </c>
      <c r="L192" s="98" t="str">
        <f>"(50)"</f>
        <v>(50)</v>
      </c>
      <c r="M192" s="102" t="e">
        <f>M187</f>
        <v>#REF!</v>
      </c>
      <c r="N192" s="103" t="str">
        <f>"(50)"</f>
        <v>(50)</v>
      </c>
      <c r="O192" s="102" t="e">
        <f>O187</f>
        <v>#REF!</v>
      </c>
      <c r="P192" s="87" t="str">
        <f>"(50)"</f>
        <v>(50)</v>
      </c>
    </row>
    <row r="193" spans="2:16" ht="17" thickBot="1" x14ac:dyDescent="0.4">
      <c r="B193" s="160"/>
      <c r="C193" s="161"/>
      <c r="D193" s="161"/>
      <c r="E193" s="161"/>
      <c r="F193" s="161"/>
      <c r="G193" s="161"/>
      <c r="H193" s="193"/>
      <c r="I193" s="130" t="e">
        <f>SUM(K193+M193+O193)</f>
        <v>#REF!</v>
      </c>
      <c r="J193" s="131" t="str">
        <f>"(55)"</f>
        <v>(55)</v>
      </c>
      <c r="K193" s="93" t="e">
        <f>SUM(K188*1.2)</f>
        <v>#REF!</v>
      </c>
      <c r="L193" s="94" t="str">
        <f>"(55)"</f>
        <v>(55)</v>
      </c>
      <c r="M193" s="130" t="e">
        <f>SUM(M188*1.22)</f>
        <v>#REF!</v>
      </c>
      <c r="N193" s="131" t="str">
        <f>"(55)"</f>
        <v>(55)</v>
      </c>
      <c r="O193" s="130" t="e">
        <f>SUM(O188*1.22)</f>
        <v>#REF!</v>
      </c>
      <c r="P193" s="96" t="str">
        <f>"(55)"</f>
        <v>(55)</v>
      </c>
    </row>
    <row r="194" spans="2:16" ht="16.5" x14ac:dyDescent="0.35">
      <c r="B194" s="187" t="e">
        <f>'kuni 2025 detsember tegevuskava'!#REF!&amp;"/"&amp;'kuni 2025 detsember tegevuskava'!#REF!</f>
        <v>#REF!</v>
      </c>
      <c r="C194" s="156" t="e">
        <f>'kuni 2025 detsember tegevuskava'!#REF!</f>
        <v>#REF!</v>
      </c>
      <c r="D194" s="156" t="e">
        <f>'kuni 2025 detsember tegevuskava'!#REF!</f>
        <v>#REF!</v>
      </c>
      <c r="E194" s="156" t="e">
        <f>'kuni 2025 detsember tegevuskava'!#REF!</f>
        <v>#REF!</v>
      </c>
      <c r="F194" s="156" t="e">
        <f>'kuni 2025 detsember tegevuskava'!#REF!&amp;"/"</f>
        <v>#REF!</v>
      </c>
      <c r="G194" s="156" t="e" cm="1">
        <f t="array" ref="G194">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194" s="194" t="e" cm="1">
        <f t="array" ref="H194">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194" s="132" t="e">
        <f>SUM(I195:I197)</f>
        <v>#REF!</v>
      </c>
      <c r="J194" s="133"/>
      <c r="K194" s="81" t="e">
        <f>SUM(K195:K197)</f>
        <v>#REF!</v>
      </c>
      <c r="L194" s="83"/>
      <c r="M194" s="132" t="e">
        <f>SUM(M195:M197)</f>
        <v>#REF!</v>
      </c>
      <c r="N194" s="133"/>
      <c r="O194" s="81" t="e">
        <f>SUM(O195:O197)</f>
        <v>#REF!</v>
      </c>
      <c r="P194" s="85"/>
    </row>
    <row r="195" spans="2:16" ht="16.5" x14ac:dyDescent="0.35">
      <c r="B195" s="145"/>
      <c r="C195" s="8"/>
      <c r="D195" s="8"/>
      <c r="E195" s="8"/>
      <c r="F195" s="8"/>
      <c r="G195" s="8"/>
      <c r="H195" s="192"/>
      <c r="I195" s="102" t="e">
        <f>SUM(K195+M195+O195)</f>
        <v>#REF!</v>
      </c>
      <c r="J195" s="103" t="str">
        <f>"(15)"</f>
        <v>(15)</v>
      </c>
      <c r="K195" s="97" t="e">
        <f>'kuni 2025 detsember tegevuskava'!#REF!</f>
        <v>#REF!</v>
      </c>
      <c r="L195" s="98" t="str">
        <f>"(15)"</f>
        <v>(15)</v>
      </c>
      <c r="M195" s="102" t="e">
        <f>'kuni 2025 detsember tegevuskava'!#REF!</f>
        <v>#REF!</v>
      </c>
      <c r="N195" s="103" t="str">
        <f>"(15)"</f>
        <v>(15)</v>
      </c>
      <c r="O195" s="97" t="e">
        <f>'kuni 2025 detsember tegevuskava'!#REF!</f>
        <v>#REF!</v>
      </c>
      <c r="P195" s="87" t="str">
        <f>"(15)"</f>
        <v>(15)</v>
      </c>
    </row>
    <row r="196" spans="2:16" ht="16.5" x14ac:dyDescent="0.35">
      <c r="B196" s="145"/>
      <c r="C196" s="8"/>
      <c r="D196" s="8"/>
      <c r="E196" s="8"/>
      <c r="F196" s="8"/>
      <c r="G196" s="8"/>
      <c r="H196" s="192"/>
      <c r="I196" s="102" t="e">
        <f>SUM(K196+M196+O196)</f>
        <v>#REF!</v>
      </c>
      <c r="J196" s="103" t="str">
        <f>"(50)"</f>
        <v>(50)</v>
      </c>
      <c r="K196" s="97" t="e">
        <f>'kuni 2025 detsember tegevuskava'!#REF!</f>
        <v>#REF!</v>
      </c>
      <c r="L196" s="98" t="str">
        <f>"(50)"</f>
        <v>(50)</v>
      </c>
      <c r="M196" s="102" t="e">
        <f>'kuni 2025 detsember tegevuskava'!#REF!</f>
        <v>#REF!</v>
      </c>
      <c r="N196" s="103" t="str">
        <f>"(50)"</f>
        <v>(50)</v>
      </c>
      <c r="O196" s="97" t="e">
        <f>'kuni 2025 detsember tegevuskava'!#REF!</f>
        <v>#REF!</v>
      </c>
      <c r="P196" s="87" t="str">
        <f>"(50)"</f>
        <v>(50)</v>
      </c>
    </row>
    <row r="197" spans="2:16" ht="16.5" x14ac:dyDescent="0.35">
      <c r="B197" s="145"/>
      <c r="C197" s="8"/>
      <c r="D197" s="8"/>
      <c r="E197" s="8"/>
      <c r="F197" s="8"/>
      <c r="G197" s="8"/>
      <c r="H197" s="192"/>
      <c r="I197" s="104" t="e">
        <f>SUM(K197+M197+O197)</f>
        <v>#REF!</v>
      </c>
      <c r="J197" s="105" t="str">
        <f>"(55)"</f>
        <v>(55)</v>
      </c>
      <c r="K197" s="99" t="e">
        <f>'kuni 2025 detsember tegevuskava'!#REF!</f>
        <v>#REF!</v>
      </c>
      <c r="L197" s="88" t="str">
        <f>"(55)"</f>
        <v>(55)</v>
      </c>
      <c r="M197" s="104" t="e">
        <f>'kuni 2025 detsember tegevuskava'!#REF!</f>
        <v>#REF!</v>
      </c>
      <c r="N197" s="105" t="str">
        <f>"(55)"</f>
        <v>(55)</v>
      </c>
      <c r="O197" s="99" t="e">
        <f>'kuni 2025 detsember tegevuskava'!#REF!</f>
        <v>#REF!</v>
      </c>
      <c r="P197" s="90" t="str">
        <f>"(55)"</f>
        <v>(55)</v>
      </c>
    </row>
    <row r="198" spans="2:16" ht="16.5" x14ac:dyDescent="0.35">
      <c r="B198" s="145"/>
      <c r="C198" s="8"/>
      <c r="D198" s="8"/>
      <c r="E198" s="8"/>
      <c r="F198" s="8"/>
      <c r="G198" s="8"/>
      <c r="H198" s="192"/>
      <c r="I198" s="151" t="s">
        <v>553</v>
      </c>
      <c r="J198" s="8"/>
      <c r="K198" s="8"/>
      <c r="L198" s="8"/>
      <c r="M198" s="8"/>
      <c r="N198" s="8"/>
      <c r="O198" s="8"/>
      <c r="P198" s="159"/>
    </row>
    <row r="199" spans="2:16" ht="16.5" x14ac:dyDescent="0.35">
      <c r="B199" s="145"/>
      <c r="C199" s="8"/>
      <c r="D199" s="8"/>
      <c r="E199" s="8"/>
      <c r="F199" s="8"/>
      <c r="G199" s="8"/>
      <c r="H199" s="192"/>
      <c r="I199" s="100" t="e">
        <f>SUM(I200:I202)</f>
        <v>#REF!</v>
      </c>
      <c r="J199" s="101"/>
      <c r="K199" s="91" t="e">
        <f>SUM(K200:K202)</f>
        <v>#REF!</v>
      </c>
      <c r="L199" s="92"/>
      <c r="M199" s="100" t="e">
        <f>SUM(M200:M202)</f>
        <v>#REF!</v>
      </c>
      <c r="N199" s="106"/>
      <c r="O199" s="100" t="e">
        <f>SUM(O200:O202)</f>
        <v>#REF!</v>
      </c>
      <c r="P199" s="134"/>
    </row>
    <row r="200" spans="2:16" ht="17" thickBot="1" x14ac:dyDescent="0.4">
      <c r="B200" s="145"/>
      <c r="C200" s="8"/>
      <c r="D200" s="8"/>
      <c r="E200" s="8"/>
      <c r="F200" s="8"/>
      <c r="G200" s="8"/>
      <c r="H200" s="192"/>
      <c r="I200" s="102" t="e">
        <f>SUM(K200+M200+O200)</f>
        <v>#REF!</v>
      </c>
      <c r="J200" s="103" t="str">
        <f>"(15)"</f>
        <v>(15)</v>
      </c>
      <c r="K200" s="97" t="e">
        <f>SUM(K195*1.2)</f>
        <v>#REF!</v>
      </c>
      <c r="L200" s="98" t="str">
        <f>"(15)"</f>
        <v>(15)</v>
      </c>
      <c r="M200" s="102" t="e">
        <f>SUM(M195*1.22)</f>
        <v>#REF!</v>
      </c>
      <c r="N200" s="103" t="str">
        <f>"(15)"</f>
        <v>(15)</v>
      </c>
      <c r="O200" s="102" t="e">
        <f>SUM(O195*1.22)</f>
        <v>#REF!</v>
      </c>
      <c r="P200" s="87" t="str">
        <f>"(15)"</f>
        <v>(15)</v>
      </c>
    </row>
    <row r="201" spans="2:16" ht="17" thickBot="1" x14ac:dyDescent="0.4">
      <c r="B201" s="145"/>
      <c r="C201" s="8"/>
      <c r="D201" s="8"/>
      <c r="E201" s="8"/>
      <c r="F201" s="8"/>
      <c r="G201" s="8"/>
      <c r="H201" s="192"/>
      <c r="I201" s="102" t="e">
        <f>SUM(K201+M201+O201)</f>
        <v>#REF!</v>
      </c>
      <c r="J201" s="103" t="str">
        <f>"(50)"</f>
        <v>(50)</v>
      </c>
      <c r="K201" s="97" t="e">
        <f>K196</f>
        <v>#REF!</v>
      </c>
      <c r="L201" s="185" t="str">
        <f>"(50)"</f>
        <v>(50)</v>
      </c>
      <c r="M201" s="97" t="e">
        <f>M196</f>
        <v>#REF!</v>
      </c>
      <c r="N201" s="103" t="str">
        <f>"(50)"</f>
        <v>(50)</v>
      </c>
      <c r="O201" s="102" t="e">
        <f>O196</f>
        <v>#REF!</v>
      </c>
      <c r="P201" s="87" t="str">
        <f>"(50)"</f>
        <v>(50)</v>
      </c>
    </row>
    <row r="202" spans="2:16" ht="17" thickBot="1" x14ac:dyDescent="0.4">
      <c r="B202" s="160"/>
      <c r="C202" s="161"/>
      <c r="D202" s="161"/>
      <c r="E202" s="161"/>
      <c r="F202" s="161"/>
      <c r="G202" s="161"/>
      <c r="H202" s="193"/>
      <c r="I202" s="130" t="e">
        <f>SUM(K202+M202+O202)</f>
        <v>#REF!</v>
      </c>
      <c r="J202" s="131" t="str">
        <f>"(55)"</f>
        <v>(55)</v>
      </c>
      <c r="K202" s="93" t="e">
        <f>SUM(K197*1.2)</f>
        <v>#REF!</v>
      </c>
      <c r="L202" s="94" t="str">
        <f>"(55)"</f>
        <v>(55)</v>
      </c>
      <c r="M202" s="130" t="e">
        <f>SUM(M197*1.22)</f>
        <v>#REF!</v>
      </c>
      <c r="N202" s="131" t="str">
        <f>"(55)"</f>
        <v>(55)</v>
      </c>
      <c r="O202" s="130" t="e">
        <f>SUM(O197*1.22)</f>
        <v>#REF!</v>
      </c>
      <c r="P202" s="96" t="str">
        <f>"(55)"</f>
        <v>(55)</v>
      </c>
    </row>
    <row r="203" spans="2:16" ht="16.5" x14ac:dyDescent="0.35">
      <c r="B203" s="187" t="e">
        <f>'kuni 2025 detsember tegevuskava'!#REF!&amp;"/"&amp;'kuni 2025 detsember tegevuskava'!#REF!</f>
        <v>#REF!</v>
      </c>
      <c r="C203" s="156" t="e">
        <f>'kuni 2025 detsember tegevuskava'!#REF!</f>
        <v>#REF!</v>
      </c>
      <c r="D203" s="156" t="e">
        <f>'kuni 2025 detsember tegevuskava'!#REF!</f>
        <v>#REF!</v>
      </c>
      <c r="E203" s="156" t="e">
        <f>'kuni 2025 detsember tegevuskava'!#REF!</f>
        <v>#REF!</v>
      </c>
      <c r="F203" s="156" t="e">
        <f>'kuni 2025 detsember tegevuskava'!#REF!&amp;"/"</f>
        <v>#REF!</v>
      </c>
      <c r="G203" s="156" t="e" cm="1">
        <f t="array" ref="G203">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03" s="194" t="e" cm="1">
        <f t="array" ref="H203">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03" s="132" t="e">
        <f>SUM(I204:I206)</f>
        <v>#REF!</v>
      </c>
      <c r="J203" s="133"/>
      <c r="K203" s="81" t="e">
        <f>SUM(K204:K206)</f>
        <v>#REF!</v>
      </c>
      <c r="L203" s="83"/>
      <c r="M203" s="132" t="e">
        <f>SUM(M204:M206)</f>
        <v>#REF!</v>
      </c>
      <c r="N203" s="133"/>
      <c r="O203" s="81" t="e">
        <f>SUM(O204:O206)</f>
        <v>#REF!</v>
      </c>
      <c r="P203" s="85"/>
    </row>
    <row r="204" spans="2:16" ht="16.5" x14ac:dyDescent="0.35">
      <c r="B204" s="145"/>
      <c r="C204" s="8"/>
      <c r="D204" s="8"/>
      <c r="E204" s="8"/>
      <c r="F204" s="8"/>
      <c r="G204" s="8"/>
      <c r="H204" s="192"/>
      <c r="I204" s="102" t="e">
        <f>SUM(K204+M204+O204)</f>
        <v>#REF!</v>
      </c>
      <c r="J204" s="103" t="str">
        <f>"(15)"</f>
        <v>(15)</v>
      </c>
      <c r="K204" s="97" t="e">
        <f>'kuni 2025 detsember tegevuskava'!#REF!</f>
        <v>#REF!</v>
      </c>
      <c r="L204" s="98" t="str">
        <f>"(15)"</f>
        <v>(15)</v>
      </c>
      <c r="M204" s="102" t="e">
        <f>'kuni 2025 detsember tegevuskava'!#REF!</f>
        <v>#REF!</v>
      </c>
      <c r="N204" s="103" t="str">
        <f>"(15)"</f>
        <v>(15)</v>
      </c>
      <c r="O204" s="97" t="e">
        <f>'kuni 2025 detsember tegevuskava'!#REF!</f>
        <v>#REF!</v>
      </c>
      <c r="P204" s="87" t="str">
        <f>"(15)"</f>
        <v>(15)</v>
      </c>
    </row>
    <row r="205" spans="2:16" ht="16.5" x14ac:dyDescent="0.35">
      <c r="B205" s="145"/>
      <c r="C205" s="8"/>
      <c r="D205" s="8"/>
      <c r="E205" s="8"/>
      <c r="F205" s="8"/>
      <c r="G205" s="8"/>
      <c r="H205" s="192"/>
      <c r="I205" s="102" t="e">
        <f>SUM(K205+M205+O205)</f>
        <v>#REF!</v>
      </c>
      <c r="J205" s="103" t="str">
        <f>"(50)"</f>
        <v>(50)</v>
      </c>
      <c r="K205" s="97" t="e">
        <f>'kuni 2025 detsember tegevuskava'!#REF!</f>
        <v>#REF!</v>
      </c>
      <c r="L205" s="98" t="str">
        <f>"(50)"</f>
        <v>(50)</v>
      </c>
      <c r="M205" s="102" t="e">
        <f>'kuni 2025 detsember tegevuskava'!#REF!</f>
        <v>#REF!</v>
      </c>
      <c r="N205" s="103" t="str">
        <f>"(50)"</f>
        <v>(50)</v>
      </c>
      <c r="O205" s="97" t="e">
        <f>'kuni 2025 detsember tegevuskava'!#REF!</f>
        <v>#REF!</v>
      </c>
      <c r="P205" s="87" t="str">
        <f>"(50)"</f>
        <v>(50)</v>
      </c>
    </row>
    <row r="206" spans="2:16" ht="16.5" x14ac:dyDescent="0.35">
      <c r="B206" s="145"/>
      <c r="C206" s="8"/>
      <c r="D206" s="8"/>
      <c r="E206" s="8"/>
      <c r="F206" s="8"/>
      <c r="G206" s="8"/>
      <c r="H206" s="192"/>
      <c r="I206" s="104" t="e">
        <f>SUM(K206+M206+O206)</f>
        <v>#REF!</v>
      </c>
      <c r="J206" s="105" t="str">
        <f>"(55)"</f>
        <v>(55)</v>
      </c>
      <c r="K206" s="99" t="e">
        <f>'kuni 2025 detsember tegevuskava'!#REF!</f>
        <v>#REF!</v>
      </c>
      <c r="L206" s="88" t="str">
        <f>"(55)"</f>
        <v>(55)</v>
      </c>
      <c r="M206" s="104" t="e">
        <f>'kuni 2025 detsember tegevuskava'!#REF!</f>
        <v>#REF!</v>
      </c>
      <c r="N206" s="105" t="str">
        <f>"(55)"</f>
        <v>(55)</v>
      </c>
      <c r="O206" s="99" t="e">
        <f>'kuni 2025 detsember tegevuskava'!#REF!</f>
        <v>#REF!</v>
      </c>
      <c r="P206" s="90" t="str">
        <f>"(55)"</f>
        <v>(55)</v>
      </c>
    </row>
    <row r="207" spans="2:16" ht="16.5" x14ac:dyDescent="0.35">
      <c r="B207" s="145"/>
      <c r="C207" s="8"/>
      <c r="D207" s="8"/>
      <c r="E207" s="8"/>
      <c r="F207" s="8"/>
      <c r="G207" s="8"/>
      <c r="H207" s="192"/>
      <c r="I207" s="151" t="s">
        <v>553</v>
      </c>
      <c r="J207" s="8"/>
      <c r="K207" s="8"/>
      <c r="L207" s="8"/>
      <c r="M207" s="8"/>
      <c r="N207" s="8"/>
      <c r="O207" s="8"/>
      <c r="P207" s="159"/>
    </row>
    <row r="208" spans="2:16" ht="16.5" x14ac:dyDescent="0.35">
      <c r="B208" s="145"/>
      <c r="C208" s="8"/>
      <c r="D208" s="8"/>
      <c r="E208" s="8"/>
      <c r="F208" s="8"/>
      <c r="G208" s="8"/>
      <c r="H208" s="192"/>
      <c r="I208" s="100" t="e">
        <f>SUM(I209:I211)</f>
        <v>#REF!</v>
      </c>
      <c r="J208" s="101"/>
      <c r="K208" s="91" t="e">
        <f>SUM(K209:K211)</f>
        <v>#REF!</v>
      </c>
      <c r="L208" s="92"/>
      <c r="M208" s="100" t="e">
        <f>SUM(M209:M211)</f>
        <v>#REF!</v>
      </c>
      <c r="N208" s="106"/>
      <c r="O208" s="100" t="e">
        <f>SUM(O209:O211)</f>
        <v>#REF!</v>
      </c>
      <c r="P208" s="134"/>
    </row>
    <row r="209" spans="2:16" ht="16.5" x14ac:dyDescent="0.35">
      <c r="B209" s="145"/>
      <c r="C209" s="8"/>
      <c r="D209" s="8"/>
      <c r="E209" s="8"/>
      <c r="F209" s="8"/>
      <c r="G209" s="8"/>
      <c r="H209" s="192"/>
      <c r="I209" s="102" t="e">
        <f>SUM(K209+M209+O209)</f>
        <v>#REF!</v>
      </c>
      <c r="J209" s="103" t="str">
        <f>"(15)"</f>
        <v>(15)</v>
      </c>
      <c r="K209" s="97" t="e">
        <f>SUM(K204*1.2)</f>
        <v>#REF!</v>
      </c>
      <c r="L209" s="98" t="str">
        <f>"(15)"</f>
        <v>(15)</v>
      </c>
      <c r="M209" s="102" t="e">
        <f>SUM(M204*1.22)</f>
        <v>#REF!</v>
      </c>
      <c r="N209" s="103" t="str">
        <f>"(15)"</f>
        <v>(15)</v>
      </c>
      <c r="O209" s="102" t="e">
        <f>SUM(O204*1.22)</f>
        <v>#REF!</v>
      </c>
      <c r="P209" s="87" t="str">
        <f>"(15)"</f>
        <v>(15)</v>
      </c>
    </row>
    <row r="210" spans="2:16" ht="16.5" x14ac:dyDescent="0.35">
      <c r="B210" s="145"/>
      <c r="C210" s="8"/>
      <c r="D210" s="8"/>
      <c r="E210" s="8"/>
      <c r="F210" s="8"/>
      <c r="G210" s="8"/>
      <c r="H210" s="192"/>
      <c r="I210" s="102" t="e">
        <f>SUM(K210+M210+O210)</f>
        <v>#REF!</v>
      </c>
      <c r="J210" s="103" t="str">
        <f>"(50)"</f>
        <v>(50)</v>
      </c>
      <c r="K210" s="97" t="e">
        <f>K205</f>
        <v>#REF!</v>
      </c>
      <c r="L210" s="98" t="str">
        <f>"(50)"</f>
        <v>(50)</v>
      </c>
      <c r="M210" s="102" t="e">
        <f>M205</f>
        <v>#REF!</v>
      </c>
      <c r="N210" s="103" t="str">
        <f>"(50)"</f>
        <v>(50)</v>
      </c>
      <c r="O210" s="102" t="e">
        <f>O205</f>
        <v>#REF!</v>
      </c>
      <c r="P210" s="87" t="str">
        <f>"(50)"</f>
        <v>(50)</v>
      </c>
    </row>
    <row r="211" spans="2:16" ht="17" thickBot="1" x14ac:dyDescent="0.4">
      <c r="B211" s="160"/>
      <c r="C211" s="161"/>
      <c r="D211" s="161"/>
      <c r="E211" s="161"/>
      <c r="F211" s="161"/>
      <c r="G211" s="161"/>
      <c r="H211" s="193"/>
      <c r="I211" s="130" t="e">
        <f>SUM(K211+M211+O211)</f>
        <v>#REF!</v>
      </c>
      <c r="J211" s="131" t="str">
        <f>"(55)"</f>
        <v>(55)</v>
      </c>
      <c r="K211" s="93" t="e">
        <f>SUM(K206*1.2)</f>
        <v>#REF!</v>
      </c>
      <c r="L211" s="94" t="str">
        <f>"(55)"</f>
        <v>(55)</v>
      </c>
      <c r="M211" s="130" t="e">
        <f>SUM(M206*1.22)</f>
        <v>#REF!</v>
      </c>
      <c r="N211" s="131" t="str">
        <f>"(55)"</f>
        <v>(55)</v>
      </c>
      <c r="O211" s="130" t="e">
        <f>SUM(O206*1.22)</f>
        <v>#REF!</v>
      </c>
      <c r="P211" s="96" t="str">
        <f>"(55)"</f>
        <v>(55)</v>
      </c>
    </row>
    <row r="212" spans="2:16" ht="16.5" x14ac:dyDescent="0.35">
      <c r="B212" s="187" t="e">
        <f>'kuni 2025 detsember tegevuskava'!#REF!&amp;"/"&amp;'kuni 2025 detsember tegevuskava'!#REF!</f>
        <v>#REF!</v>
      </c>
      <c r="C212" s="156" t="e">
        <f>'kuni 2025 detsember tegevuskava'!#REF!</f>
        <v>#REF!</v>
      </c>
      <c r="D212" s="156" t="e">
        <f>'kuni 2025 detsember tegevuskava'!#REF!</f>
        <v>#REF!</v>
      </c>
      <c r="E212" s="156" t="e">
        <f>'kuni 2025 detsember tegevuskava'!#REF!</f>
        <v>#REF!</v>
      </c>
      <c r="F212" s="156" t="e">
        <f>'kuni 2025 detsember tegevuskava'!#REF!&amp;"/"</f>
        <v>#REF!</v>
      </c>
      <c r="G212" s="156" t="e" cm="1">
        <f t="array" ref="G212">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12" s="194" t="e" cm="1">
        <f t="array" ref="H212">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12" s="132">
        <f>SUM(I213:I215)</f>
        <v>0</v>
      </c>
      <c r="J212" s="133"/>
      <c r="K212" s="81">
        <f>SUM(K213:K215)</f>
        <v>0</v>
      </c>
      <c r="L212" s="83"/>
      <c r="M212" s="132">
        <f>SUM(M213:M215)</f>
        <v>0</v>
      </c>
      <c r="N212" s="133"/>
      <c r="O212" s="81">
        <f>SUM(O213:O215)</f>
        <v>0</v>
      </c>
      <c r="P212" s="85"/>
    </row>
    <row r="213" spans="2:16" ht="16.5" x14ac:dyDescent="0.35">
      <c r="B213" s="145"/>
      <c r="C213" s="8"/>
      <c r="D213" s="8"/>
      <c r="E213" s="8"/>
      <c r="F213" s="8"/>
      <c r="G213" s="8"/>
      <c r="H213" s="192"/>
      <c r="I213" s="102">
        <f>SUM(K213+M213+O213)</f>
        <v>0</v>
      </c>
      <c r="J213" s="103" t="str">
        <f>"(15)"</f>
        <v>(15)</v>
      </c>
      <c r="K213" s="97">
        <f>'kuni 2025 detsember tegevuskava'!W162</f>
        <v>0</v>
      </c>
      <c r="L213" s="98" t="str">
        <f>"(15)"</f>
        <v>(15)</v>
      </c>
      <c r="M213" s="102">
        <f>'kuni 2025 detsember tegevuskava'!Z162</f>
        <v>0</v>
      </c>
      <c r="N213" s="103" t="str">
        <f>"(15)"</f>
        <v>(15)</v>
      </c>
      <c r="O213" s="97">
        <f>'kuni 2025 detsember tegevuskava'!AC162</f>
        <v>0</v>
      </c>
      <c r="P213" s="87" t="str">
        <f>"(15)"</f>
        <v>(15)</v>
      </c>
    </row>
    <row r="214" spans="2:16" ht="16.5" x14ac:dyDescent="0.35">
      <c r="B214" s="145"/>
      <c r="C214" s="8"/>
      <c r="D214" s="8"/>
      <c r="E214" s="8"/>
      <c r="F214" s="8"/>
      <c r="G214" s="8"/>
      <c r="H214" s="192"/>
      <c r="I214" s="102">
        <f>SUM(K214+M214+O214)</f>
        <v>0</v>
      </c>
      <c r="J214" s="103" t="str">
        <f>"(50)"</f>
        <v>(50)</v>
      </c>
      <c r="K214" s="97">
        <f>'kuni 2025 detsember tegevuskava'!X162</f>
        <v>0</v>
      </c>
      <c r="L214" s="98" t="str">
        <f>"(50)"</f>
        <v>(50)</v>
      </c>
      <c r="M214" s="102">
        <f>'kuni 2025 detsember tegevuskava'!AA162</f>
        <v>0</v>
      </c>
      <c r="N214" s="103" t="str">
        <f>"(50)"</f>
        <v>(50)</v>
      </c>
      <c r="O214" s="97">
        <f>'kuni 2025 detsember tegevuskava'!AD162</f>
        <v>0</v>
      </c>
      <c r="P214" s="87" t="str">
        <f>"(50)"</f>
        <v>(50)</v>
      </c>
    </row>
    <row r="215" spans="2:16" ht="16.5" x14ac:dyDescent="0.35">
      <c r="B215" s="145"/>
      <c r="C215" s="8"/>
      <c r="D215" s="8"/>
      <c r="E215" s="8"/>
      <c r="F215" s="8"/>
      <c r="G215" s="8"/>
      <c r="H215" s="192"/>
      <c r="I215" s="102">
        <f>SUM(K215+M215+O215)</f>
        <v>0</v>
      </c>
      <c r="J215" s="105" t="str">
        <f>"(55)"</f>
        <v>(55)</v>
      </c>
      <c r="K215" s="99">
        <f>'kuni 2025 detsember tegevuskava'!Y162</f>
        <v>0</v>
      </c>
      <c r="L215" s="88" t="str">
        <f>"(55)"</f>
        <v>(55)</v>
      </c>
      <c r="M215" s="104">
        <f>'kuni 2025 detsember tegevuskava'!AB162</f>
        <v>0</v>
      </c>
      <c r="N215" s="105" t="str">
        <f>"(55)"</f>
        <v>(55)</v>
      </c>
      <c r="O215" s="99">
        <f>'kuni 2025 detsember tegevuskava'!AE162</f>
        <v>0</v>
      </c>
      <c r="P215" s="90" t="str">
        <f>"(55)"</f>
        <v>(55)</v>
      </c>
    </row>
    <row r="216" spans="2:16" ht="16.5" x14ac:dyDescent="0.35">
      <c r="B216" s="145"/>
      <c r="C216" s="8"/>
      <c r="D216" s="8"/>
      <c r="E216" s="8"/>
      <c r="F216" s="8"/>
      <c r="G216" s="8"/>
      <c r="H216" s="192"/>
      <c r="I216" s="183" t="s">
        <v>553</v>
      </c>
      <c r="J216" s="8"/>
      <c r="K216" s="8"/>
      <c r="L216" s="8"/>
      <c r="M216" s="8"/>
      <c r="N216" s="8"/>
      <c r="O216" s="8"/>
      <c r="P216" s="159"/>
    </row>
    <row r="217" spans="2:16" ht="16.5" x14ac:dyDescent="0.35">
      <c r="B217" s="145"/>
      <c r="C217" s="8"/>
      <c r="D217" s="8"/>
      <c r="E217" s="8"/>
      <c r="F217" s="8"/>
      <c r="G217" s="8"/>
      <c r="H217" s="192"/>
      <c r="I217" s="179">
        <f>SUM(I218:I220)</f>
        <v>0</v>
      </c>
      <c r="J217" s="101"/>
      <c r="K217" s="91">
        <f>SUM(K218:K220)</f>
        <v>0</v>
      </c>
      <c r="L217" s="92"/>
      <c r="M217" s="100">
        <f>SUM(M218:M220)</f>
        <v>0</v>
      </c>
      <c r="N217" s="106"/>
      <c r="O217" s="100">
        <f>SUM(O218:O220)</f>
        <v>0</v>
      </c>
      <c r="P217" s="134"/>
    </row>
    <row r="218" spans="2:16" ht="16.5" x14ac:dyDescent="0.35">
      <c r="B218" s="145"/>
      <c r="C218" s="8"/>
      <c r="D218" s="8"/>
      <c r="E218" s="8"/>
      <c r="F218" s="8"/>
      <c r="G218" s="8"/>
      <c r="H218" s="192"/>
      <c r="I218" s="102">
        <f>SUM(K218+M218+O218)</f>
        <v>0</v>
      </c>
      <c r="J218" s="103" t="str">
        <f>"(15)"</f>
        <v>(15)</v>
      </c>
      <c r="K218" s="97">
        <f>SUM(K213*1.2)</f>
        <v>0</v>
      </c>
      <c r="L218" s="98" t="str">
        <f>"(15)"</f>
        <v>(15)</v>
      </c>
      <c r="M218" s="102">
        <f>SUM(M213*1.22)</f>
        <v>0</v>
      </c>
      <c r="N218" s="103" t="str">
        <f>"(15)"</f>
        <v>(15)</v>
      </c>
      <c r="O218" s="102">
        <f>SUM(O213*1.22)</f>
        <v>0</v>
      </c>
      <c r="P218" s="87" t="str">
        <f>"(15)"</f>
        <v>(15)</v>
      </c>
    </row>
    <row r="219" spans="2:16" ht="16.5" x14ac:dyDescent="0.35">
      <c r="B219" s="145"/>
      <c r="C219" s="8"/>
      <c r="D219" s="8"/>
      <c r="E219" s="8"/>
      <c r="F219" s="8"/>
      <c r="G219" s="8"/>
      <c r="H219" s="192"/>
      <c r="I219" s="102">
        <f>SUM(K219+M219+O219)</f>
        <v>0</v>
      </c>
      <c r="J219" s="103" t="str">
        <f>"(50)"</f>
        <v>(50)</v>
      </c>
      <c r="K219" s="97">
        <f>K214</f>
        <v>0</v>
      </c>
      <c r="L219" s="98" t="str">
        <f>"(50)"</f>
        <v>(50)</v>
      </c>
      <c r="M219" s="102">
        <f>M214</f>
        <v>0</v>
      </c>
      <c r="N219" s="103" t="str">
        <f>"(50)"</f>
        <v>(50)</v>
      </c>
      <c r="O219" s="102">
        <f>O214</f>
        <v>0</v>
      </c>
      <c r="P219" s="87" t="str">
        <f>"(50)"</f>
        <v>(50)</v>
      </c>
    </row>
    <row r="220" spans="2:16" ht="17" thickBot="1" x14ac:dyDescent="0.4">
      <c r="B220" s="160"/>
      <c r="C220" s="161"/>
      <c r="D220" s="161"/>
      <c r="E220" s="161"/>
      <c r="F220" s="161"/>
      <c r="G220" s="161"/>
      <c r="H220" s="193"/>
      <c r="I220" s="130">
        <f>SUM(K220+M220+O220)</f>
        <v>0</v>
      </c>
      <c r="J220" s="131" t="str">
        <f>"(55)"</f>
        <v>(55)</v>
      </c>
      <c r="K220" s="93">
        <f>SUM(K215*1.2)</f>
        <v>0</v>
      </c>
      <c r="L220" s="94" t="str">
        <f>"(55)"</f>
        <v>(55)</v>
      </c>
      <c r="M220" s="130">
        <f>SUM(M215*1.22)</f>
        <v>0</v>
      </c>
      <c r="N220" s="131" t="str">
        <f>"(55)"</f>
        <v>(55)</v>
      </c>
      <c r="O220" s="130">
        <f>SUM(O215*1.22)</f>
        <v>0</v>
      </c>
      <c r="P220" s="96" t="str">
        <f>"(55)"</f>
        <v>(55)</v>
      </c>
    </row>
    <row r="221" spans="2:16" ht="16.5" x14ac:dyDescent="0.35">
      <c r="B221" s="187" t="e">
        <f>'kuni 2025 detsember tegevuskava'!#REF!&amp;"/"&amp;'kuni 2025 detsember tegevuskava'!#REF!</f>
        <v>#REF!</v>
      </c>
      <c r="C221" s="156" t="e">
        <f>'kuni 2025 detsember tegevuskava'!#REF!</f>
        <v>#REF!</v>
      </c>
      <c r="D221" s="156" t="e">
        <f>'kuni 2025 detsember tegevuskava'!#REF!</f>
        <v>#REF!</v>
      </c>
      <c r="E221" s="156" t="e">
        <f>'kuni 2025 detsember tegevuskava'!#REF!</f>
        <v>#REF!</v>
      </c>
      <c r="F221" s="156" t="e">
        <f>'kuni 2025 detsember tegevuskava'!#REF!&amp;"/"</f>
        <v>#REF!</v>
      </c>
      <c r="G221" s="156" t="e" cm="1">
        <f t="array" ref="G221">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21" s="194" t="e" cm="1">
        <f t="array" ref="H221">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21" s="132" t="e">
        <f>SUM(I222:I224)</f>
        <v>#REF!</v>
      </c>
      <c r="J221" s="133"/>
      <c r="K221" s="81" t="e">
        <f>SUM(K222:K224)</f>
        <v>#REF!</v>
      </c>
      <c r="L221" s="83"/>
      <c r="M221" s="132" t="e">
        <f>SUM(M222:M224)</f>
        <v>#REF!</v>
      </c>
      <c r="N221" s="133"/>
      <c r="O221" s="81" t="e">
        <f>SUM(O222:O224)</f>
        <v>#REF!</v>
      </c>
      <c r="P221" s="85"/>
    </row>
    <row r="222" spans="2:16" ht="16.5" x14ac:dyDescent="0.35">
      <c r="B222" s="145"/>
      <c r="C222" s="8"/>
      <c r="D222" s="8"/>
      <c r="E222" s="8"/>
      <c r="F222" s="8"/>
      <c r="G222" s="8"/>
      <c r="H222" s="192"/>
      <c r="I222" s="102" t="e">
        <f>SUM(K222+M222+O222)</f>
        <v>#REF!</v>
      </c>
      <c r="J222" s="103" t="str">
        <f>"(15)"</f>
        <v>(15)</v>
      </c>
      <c r="K222" s="97" t="e">
        <f>'kuni 2025 detsember tegevuskava'!#REF!</f>
        <v>#REF!</v>
      </c>
      <c r="L222" s="98" t="str">
        <f>"(15)"</f>
        <v>(15)</v>
      </c>
      <c r="M222" s="102" t="e">
        <f>'kuni 2025 detsember tegevuskava'!#REF!</f>
        <v>#REF!</v>
      </c>
      <c r="N222" s="103" t="str">
        <f>"(15)"</f>
        <v>(15)</v>
      </c>
      <c r="O222" s="97" t="e">
        <f>'kuni 2025 detsember tegevuskava'!#REF!</f>
        <v>#REF!</v>
      </c>
      <c r="P222" s="87" t="str">
        <f>"(15)"</f>
        <v>(15)</v>
      </c>
    </row>
    <row r="223" spans="2:16" ht="16.5" x14ac:dyDescent="0.35">
      <c r="B223" s="145"/>
      <c r="C223" s="8"/>
      <c r="D223" s="8"/>
      <c r="E223" s="8"/>
      <c r="F223" s="8"/>
      <c r="G223" s="8"/>
      <c r="H223" s="192"/>
      <c r="I223" s="102" t="e">
        <f>SUM(K223+M223+O223)</f>
        <v>#REF!</v>
      </c>
      <c r="J223" s="103" t="str">
        <f>"(50)"</f>
        <v>(50)</v>
      </c>
      <c r="K223" s="97" t="e">
        <f>'kuni 2025 detsember tegevuskava'!#REF!</f>
        <v>#REF!</v>
      </c>
      <c r="L223" s="98" t="str">
        <f>"(50)"</f>
        <v>(50)</v>
      </c>
      <c r="M223" s="102" t="e">
        <f>'kuni 2025 detsember tegevuskava'!#REF!</f>
        <v>#REF!</v>
      </c>
      <c r="N223" s="103" t="str">
        <f>"(50)"</f>
        <v>(50)</v>
      </c>
      <c r="O223" s="97" t="e">
        <f>'kuni 2025 detsember tegevuskava'!#REF!</f>
        <v>#REF!</v>
      </c>
      <c r="P223" s="87" t="str">
        <f>"(50)"</f>
        <v>(50)</v>
      </c>
    </row>
    <row r="224" spans="2:16" ht="16.5" x14ac:dyDescent="0.35">
      <c r="B224" s="145"/>
      <c r="C224" s="8"/>
      <c r="D224" s="8"/>
      <c r="E224" s="8"/>
      <c r="F224" s="8"/>
      <c r="G224" s="8"/>
      <c r="H224" s="192"/>
      <c r="I224" s="102" t="e">
        <f>SUM(K224+M224+O224)</f>
        <v>#REF!</v>
      </c>
      <c r="J224" s="105" t="str">
        <f>"(55)"</f>
        <v>(55)</v>
      </c>
      <c r="K224" s="99" t="e">
        <f>'kuni 2025 detsember tegevuskava'!#REF!</f>
        <v>#REF!</v>
      </c>
      <c r="L224" s="88" t="str">
        <f>"(55)"</f>
        <v>(55)</v>
      </c>
      <c r="M224" s="104" t="e">
        <f>'kuni 2025 detsember tegevuskava'!#REF!</f>
        <v>#REF!</v>
      </c>
      <c r="N224" s="105" t="str">
        <f>"(55)"</f>
        <v>(55)</v>
      </c>
      <c r="O224" s="99" t="e">
        <f>'kuni 2025 detsember tegevuskava'!#REF!</f>
        <v>#REF!</v>
      </c>
      <c r="P224" s="90" t="str">
        <f>"(55)"</f>
        <v>(55)</v>
      </c>
    </row>
    <row r="225" spans="2:16" ht="16.5" x14ac:dyDescent="0.35">
      <c r="B225" s="145"/>
      <c r="C225" s="8"/>
      <c r="D225" s="8"/>
      <c r="E225" s="8"/>
      <c r="F225" s="8"/>
      <c r="G225" s="8"/>
      <c r="H225" s="192"/>
      <c r="I225" s="183" t="s">
        <v>553</v>
      </c>
      <c r="J225" s="8"/>
      <c r="K225" s="8"/>
      <c r="L225" s="8"/>
      <c r="M225" s="8"/>
      <c r="N225" s="8"/>
      <c r="O225" s="8"/>
      <c r="P225" s="159"/>
    </row>
    <row r="226" spans="2:16" ht="16.5" x14ac:dyDescent="0.35">
      <c r="B226" s="145"/>
      <c r="C226" s="8"/>
      <c r="D226" s="8"/>
      <c r="E226" s="8"/>
      <c r="F226" s="8"/>
      <c r="G226" s="8"/>
      <c r="H226" s="192"/>
      <c r="I226" s="179" t="e">
        <f>SUM(I227:I229)</f>
        <v>#REF!</v>
      </c>
      <c r="J226" s="101"/>
      <c r="K226" s="91" t="e">
        <f>SUM(K227:K229)</f>
        <v>#REF!</v>
      </c>
      <c r="L226" s="92"/>
      <c r="M226" s="100" t="e">
        <f>SUM(M227:M229)</f>
        <v>#REF!</v>
      </c>
      <c r="N226" s="106"/>
      <c r="O226" s="100" t="e">
        <f>SUM(O227:O229)</f>
        <v>#REF!</v>
      </c>
      <c r="P226" s="134"/>
    </row>
    <row r="227" spans="2:16" ht="16.5" x14ac:dyDescent="0.35">
      <c r="B227" s="145"/>
      <c r="C227" s="8"/>
      <c r="D227" s="8"/>
      <c r="E227" s="8"/>
      <c r="F227" s="8"/>
      <c r="G227" s="8"/>
      <c r="H227" s="192"/>
      <c r="I227" s="102" t="e">
        <f>SUM(K227+M227+O227)</f>
        <v>#REF!</v>
      </c>
      <c r="J227" s="103" t="str">
        <f>"(15)"</f>
        <v>(15)</v>
      </c>
      <c r="K227" s="97" t="e">
        <f>SUM(K222*1.2)</f>
        <v>#REF!</v>
      </c>
      <c r="L227" s="98" t="str">
        <f>"(15)"</f>
        <v>(15)</v>
      </c>
      <c r="M227" s="102" t="e">
        <f>SUM(M222*1.22)</f>
        <v>#REF!</v>
      </c>
      <c r="N227" s="103" t="str">
        <f>"(15)"</f>
        <v>(15)</v>
      </c>
      <c r="O227" s="102" t="e">
        <f>SUM(O222*1.22)</f>
        <v>#REF!</v>
      </c>
      <c r="P227" s="87" t="str">
        <f>"(15)"</f>
        <v>(15)</v>
      </c>
    </row>
    <row r="228" spans="2:16" ht="16.5" x14ac:dyDescent="0.35">
      <c r="B228" s="145"/>
      <c r="C228" s="8"/>
      <c r="D228" s="8"/>
      <c r="E228" s="8"/>
      <c r="F228" s="8"/>
      <c r="G228" s="8"/>
      <c r="H228" s="192"/>
      <c r="I228" s="102" t="e">
        <f>SUM(K228+M228+O228)</f>
        <v>#REF!</v>
      </c>
      <c r="J228" s="103" t="str">
        <f>"(50)"</f>
        <v>(50)</v>
      </c>
      <c r="K228" s="97" t="e">
        <f>K223</f>
        <v>#REF!</v>
      </c>
      <c r="L228" s="98" t="str">
        <f>"(50)"</f>
        <v>(50)</v>
      </c>
      <c r="M228" s="102" t="e">
        <f>M223</f>
        <v>#REF!</v>
      </c>
      <c r="N228" s="103" t="str">
        <f>"(50)"</f>
        <v>(50)</v>
      </c>
      <c r="O228" s="102" t="e">
        <f>O223</f>
        <v>#REF!</v>
      </c>
      <c r="P228" s="87" t="str">
        <f>"(50)"</f>
        <v>(50)</v>
      </c>
    </row>
    <row r="229" spans="2:16" ht="17" thickBot="1" x14ac:dyDescent="0.4">
      <c r="B229" s="160"/>
      <c r="C229" s="161"/>
      <c r="D229" s="161"/>
      <c r="E229" s="161"/>
      <c r="F229" s="161"/>
      <c r="G229" s="161"/>
      <c r="H229" s="193"/>
      <c r="I229" s="130" t="e">
        <f>SUM(K229+M229+O229)</f>
        <v>#REF!</v>
      </c>
      <c r="J229" s="131" t="str">
        <f>"(55)"</f>
        <v>(55)</v>
      </c>
      <c r="K229" s="93" t="e">
        <f>SUM(K224*1.2)</f>
        <v>#REF!</v>
      </c>
      <c r="L229" s="94" t="str">
        <f>"(55)"</f>
        <v>(55)</v>
      </c>
      <c r="M229" s="130" t="e">
        <f>SUM(M224*1.22)</f>
        <v>#REF!</v>
      </c>
      <c r="N229" s="131" t="str">
        <f>"(55)"</f>
        <v>(55)</v>
      </c>
      <c r="O229" s="130" t="e">
        <f>SUM(O224*1.22)</f>
        <v>#REF!</v>
      </c>
      <c r="P229" s="96" t="str">
        <f>"(55)"</f>
        <v>(55)</v>
      </c>
    </row>
    <row r="230" spans="2:16" ht="16.5" x14ac:dyDescent="0.35">
      <c r="B230" s="145" t="e">
        <f>'kuni 2025 detsember tegevuskava'!#REF!&amp;"/"&amp;'kuni 2025 detsember tegevuskava'!#REF!</f>
        <v>#REF!</v>
      </c>
      <c r="C230" s="8" t="e">
        <f>'kuni 2025 detsember tegevuskava'!#REF!</f>
        <v>#REF!</v>
      </c>
      <c r="D230" s="8" t="e">
        <f>'kuni 2025 detsember tegevuskava'!#REF!</f>
        <v>#REF!</v>
      </c>
      <c r="E230" s="8" t="e">
        <f>'kuni 2025 detsember tegevuskava'!#REF!</f>
        <v>#REF!</v>
      </c>
      <c r="F230" s="8" t="e">
        <f>'kuni 2025 detsember tegevuskava'!#REF!&amp;"/"</f>
        <v>#REF!</v>
      </c>
      <c r="G230" s="8" t="e" cm="1">
        <f t="array" ref="G230">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30" s="192" t="e" cm="1">
        <f t="array" ref="H230">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30" s="179" t="e">
        <f>SUM(I231:I233)</f>
        <v>#REF!</v>
      </c>
      <c r="J230" s="103"/>
      <c r="K230" s="172" t="e">
        <f>SUM(K231:K233)</f>
        <v>#REF!</v>
      </c>
      <c r="L230" s="184"/>
      <c r="M230" s="179" t="e">
        <f>SUM(M231:M233)</f>
        <v>#REF!</v>
      </c>
      <c r="N230" s="103"/>
      <c r="O230" s="172" t="e">
        <f>SUM(O231:O233)</f>
        <v>#REF!</v>
      </c>
      <c r="P230" s="87"/>
    </row>
    <row r="231" spans="2:16" ht="16.5" x14ac:dyDescent="0.35">
      <c r="B231" s="145"/>
      <c r="C231" s="8"/>
      <c r="D231" s="8"/>
      <c r="E231" s="8"/>
      <c r="F231" s="8"/>
      <c r="G231" s="8"/>
      <c r="H231" s="192"/>
      <c r="I231" s="102" t="e">
        <f>SUM(K231+M231+O231)</f>
        <v>#REF!</v>
      </c>
      <c r="J231" s="103" t="str">
        <f>"(15)"</f>
        <v>(15)</v>
      </c>
      <c r="K231" s="97" t="e">
        <f>'kuni 2025 detsember tegevuskava'!#REF!</f>
        <v>#REF!</v>
      </c>
      <c r="L231" s="98" t="str">
        <f>"(15)"</f>
        <v>(15)</v>
      </c>
      <c r="M231" s="102" t="e">
        <f>'kuni 2025 detsember tegevuskava'!#REF!</f>
        <v>#REF!</v>
      </c>
      <c r="N231" s="103" t="str">
        <f>"(15)"</f>
        <v>(15)</v>
      </c>
      <c r="O231" s="97" t="e">
        <f>'kuni 2025 detsember tegevuskava'!#REF!</f>
        <v>#REF!</v>
      </c>
      <c r="P231" s="87" t="str">
        <f>"(15)"</f>
        <v>(15)</v>
      </c>
    </row>
    <row r="232" spans="2:16" ht="16.5" x14ac:dyDescent="0.35">
      <c r="B232" s="145"/>
      <c r="C232" s="8"/>
      <c r="D232" s="8"/>
      <c r="E232" s="8"/>
      <c r="F232" s="8"/>
      <c r="G232" s="8"/>
      <c r="H232" s="192"/>
      <c r="I232" s="102" t="e">
        <f>SUM(K232+M232+O232)</f>
        <v>#REF!</v>
      </c>
      <c r="J232" s="103" t="str">
        <f>"(50)"</f>
        <v>(50)</v>
      </c>
      <c r="K232" s="97" t="e">
        <f>'kuni 2025 detsember tegevuskava'!#REF!</f>
        <v>#REF!</v>
      </c>
      <c r="L232" s="98" t="str">
        <f>"(50)"</f>
        <v>(50)</v>
      </c>
      <c r="M232" s="102" t="e">
        <f>'kuni 2025 detsember tegevuskava'!#REF!</f>
        <v>#REF!</v>
      </c>
      <c r="N232" s="103" t="str">
        <f>"(50)"</f>
        <v>(50)</v>
      </c>
      <c r="O232" s="97" t="e">
        <f>'kuni 2025 detsember tegevuskava'!#REF!</f>
        <v>#REF!</v>
      </c>
      <c r="P232" s="87" t="str">
        <f>"(50)"</f>
        <v>(50)</v>
      </c>
    </row>
    <row r="233" spans="2:16" ht="16.5" x14ac:dyDescent="0.35">
      <c r="B233" s="145"/>
      <c r="C233" s="8"/>
      <c r="D233" s="8"/>
      <c r="E233" s="8"/>
      <c r="F233" s="8"/>
      <c r="G233" s="8"/>
      <c r="H233" s="192"/>
      <c r="I233" s="104" t="e">
        <f>SUM(K233+M233+O233)</f>
        <v>#REF!</v>
      </c>
      <c r="J233" s="105" t="str">
        <f>"(55)"</f>
        <v>(55)</v>
      </c>
      <c r="K233" s="99" t="e">
        <f>'kuni 2025 detsember tegevuskava'!#REF!</f>
        <v>#REF!</v>
      </c>
      <c r="L233" s="88" t="str">
        <f>"(55)"</f>
        <v>(55)</v>
      </c>
      <c r="M233" s="104" t="e">
        <f>'kuni 2025 detsember tegevuskava'!#REF!</f>
        <v>#REF!</v>
      </c>
      <c r="N233" s="105" t="str">
        <f>"(55)"</f>
        <v>(55)</v>
      </c>
      <c r="O233" s="99" t="e">
        <f>'kuni 2025 detsember tegevuskava'!#REF!</f>
        <v>#REF!</v>
      </c>
      <c r="P233" s="90" t="str">
        <f>"(55)"</f>
        <v>(55)</v>
      </c>
    </row>
    <row r="234" spans="2:16" ht="16.5" x14ac:dyDescent="0.35">
      <c r="B234" s="145"/>
      <c r="C234" s="8"/>
      <c r="D234" s="8"/>
      <c r="E234" s="8"/>
      <c r="F234" s="8"/>
      <c r="G234" s="8"/>
      <c r="H234" s="192"/>
      <c r="I234" s="183" t="s">
        <v>553</v>
      </c>
      <c r="J234" s="8"/>
      <c r="K234" s="8"/>
      <c r="L234" s="8"/>
      <c r="M234" s="8"/>
      <c r="N234" s="8"/>
      <c r="O234" s="8"/>
      <c r="P234" s="159"/>
    </row>
    <row r="235" spans="2:16" ht="16.5" x14ac:dyDescent="0.35">
      <c r="B235" s="145"/>
      <c r="C235" s="8"/>
      <c r="D235" s="8"/>
      <c r="E235" s="8"/>
      <c r="F235" s="8"/>
      <c r="G235" s="8"/>
      <c r="H235" s="192"/>
      <c r="I235" s="100" t="e">
        <f>SUM(I236:I238)</f>
        <v>#REF!</v>
      </c>
      <c r="J235" s="101"/>
      <c r="K235" s="91" t="e">
        <f>SUM(K236:K238)</f>
        <v>#REF!</v>
      </c>
      <c r="L235" s="92"/>
      <c r="M235" s="100" t="e">
        <f>SUM(M236:M238)</f>
        <v>#REF!</v>
      </c>
      <c r="N235" s="106"/>
      <c r="O235" s="100" t="e">
        <f>SUM(O236:O238)</f>
        <v>#REF!</v>
      </c>
      <c r="P235" s="134"/>
    </row>
    <row r="236" spans="2:16" ht="16.5" x14ac:dyDescent="0.35">
      <c r="B236" s="145"/>
      <c r="C236" s="8"/>
      <c r="D236" s="8"/>
      <c r="E236" s="8"/>
      <c r="F236" s="8"/>
      <c r="G236" s="8"/>
      <c r="H236" s="192"/>
      <c r="I236" s="102" t="e">
        <f>SUM(K236+M236+O236)</f>
        <v>#REF!</v>
      </c>
      <c r="J236" s="103" t="str">
        <f>"(15)"</f>
        <v>(15)</v>
      </c>
      <c r="K236" s="97" t="e">
        <f>SUM(K231*1.2)</f>
        <v>#REF!</v>
      </c>
      <c r="L236" s="98" t="str">
        <f>"(15)"</f>
        <v>(15)</v>
      </c>
      <c r="M236" s="102" t="e">
        <f>SUM(M231*1.22)</f>
        <v>#REF!</v>
      </c>
      <c r="N236" s="103" t="str">
        <f>"(15)"</f>
        <v>(15)</v>
      </c>
      <c r="O236" s="102" t="e">
        <f>SUM(O231*1.22)</f>
        <v>#REF!</v>
      </c>
      <c r="P236" s="87" t="str">
        <f>"(15)"</f>
        <v>(15)</v>
      </c>
    </row>
    <row r="237" spans="2:16" ht="16.5" x14ac:dyDescent="0.35">
      <c r="B237" s="145"/>
      <c r="C237" s="8"/>
      <c r="D237" s="8"/>
      <c r="E237" s="8"/>
      <c r="F237" s="8"/>
      <c r="G237" s="8"/>
      <c r="H237" s="192"/>
      <c r="I237" s="102" t="e">
        <f>SUM(K237+M237+O237)</f>
        <v>#REF!</v>
      </c>
      <c r="J237" s="103" t="str">
        <f>"(50)"</f>
        <v>(50)</v>
      </c>
      <c r="K237" s="97" t="e">
        <f>K232</f>
        <v>#REF!</v>
      </c>
      <c r="L237" s="98" t="str">
        <f>"(50)"</f>
        <v>(50)</v>
      </c>
      <c r="M237" s="102" t="e">
        <f>M232</f>
        <v>#REF!</v>
      </c>
      <c r="N237" s="103" t="str">
        <f>"(50)"</f>
        <v>(50)</v>
      </c>
      <c r="O237" s="102" t="e">
        <f>O232</f>
        <v>#REF!</v>
      </c>
      <c r="P237" s="87" t="str">
        <f>"(50)"</f>
        <v>(50)</v>
      </c>
    </row>
    <row r="238" spans="2:16" ht="17" thickBot="1" x14ac:dyDescent="0.4">
      <c r="B238" s="145"/>
      <c r="C238" s="8"/>
      <c r="D238" s="8"/>
      <c r="E238" s="8"/>
      <c r="F238" s="8"/>
      <c r="G238" s="8"/>
      <c r="H238" s="192"/>
      <c r="I238" s="102" t="e">
        <f>SUM(K238+M238+O238)</f>
        <v>#REF!</v>
      </c>
      <c r="J238" s="103" t="str">
        <f>"(55)"</f>
        <v>(55)</v>
      </c>
      <c r="K238" s="97" t="e">
        <f>SUM(K233*1.2)</f>
        <v>#REF!</v>
      </c>
      <c r="L238" s="98" t="str">
        <f>"(55)"</f>
        <v>(55)</v>
      </c>
      <c r="M238" s="102" t="e">
        <f>SUM(M233*1.22)</f>
        <v>#REF!</v>
      </c>
      <c r="N238" s="103" t="str">
        <f>"(55)"</f>
        <v>(55)</v>
      </c>
      <c r="O238" s="102" t="e">
        <f>SUM(O233*1.22)</f>
        <v>#REF!</v>
      </c>
      <c r="P238" s="87" t="str">
        <f>"(55)"</f>
        <v>(55)</v>
      </c>
    </row>
    <row r="239" spans="2:16" ht="16.5" x14ac:dyDescent="0.35">
      <c r="B239" s="187" t="e">
        <f>'kuni 2025 detsember tegevuskava'!#REF!&amp;"/"&amp;'kuni 2025 detsember tegevuskava'!#REF!</f>
        <v>#REF!</v>
      </c>
      <c r="C239" s="156" t="e">
        <f>'kuni 2025 detsember tegevuskava'!#REF!</f>
        <v>#REF!</v>
      </c>
      <c r="D239" s="156" t="e">
        <f>'kuni 2025 detsember tegevuskava'!#REF!</f>
        <v>#REF!</v>
      </c>
      <c r="E239" s="156" t="e">
        <f>'kuni 2025 detsember tegevuskava'!#REF!</f>
        <v>#REF!</v>
      </c>
      <c r="F239" s="156" t="e">
        <f>'kuni 2025 detsember tegevuskava'!#REF!&amp;"/"</f>
        <v>#REF!</v>
      </c>
      <c r="G239" s="156" t="e" cm="1">
        <f t="array" ref="G239">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39" s="194" t="e" cm="1">
        <f t="array" ref="H239">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39" s="132" t="e">
        <f>SUM(I240:I242)</f>
        <v>#REF!</v>
      </c>
      <c r="J239" s="133"/>
      <c r="K239" s="81" t="e">
        <f>SUM(K240:K242)</f>
        <v>#REF!</v>
      </c>
      <c r="L239" s="83"/>
      <c r="M239" s="132" t="e">
        <f>SUM(M240:M242)</f>
        <v>#REF!</v>
      </c>
      <c r="N239" s="133"/>
      <c r="O239" s="81" t="e">
        <f>SUM(O240:O242)</f>
        <v>#REF!</v>
      </c>
      <c r="P239" s="85"/>
    </row>
    <row r="240" spans="2:16" ht="16.5" x14ac:dyDescent="0.35">
      <c r="B240" s="145"/>
      <c r="C240" s="8"/>
      <c r="D240" s="8"/>
      <c r="E240" s="8"/>
      <c r="F240" s="8"/>
      <c r="G240" s="8"/>
      <c r="H240" s="192"/>
      <c r="I240" s="102" t="e">
        <f>SUM(K240+M240+O240)</f>
        <v>#REF!</v>
      </c>
      <c r="J240" s="103" t="str">
        <f>"(15)"</f>
        <v>(15)</v>
      </c>
      <c r="K240" s="97" t="e">
        <f>'kuni 2025 detsember tegevuskava'!#REF!</f>
        <v>#REF!</v>
      </c>
      <c r="L240" s="98" t="str">
        <f>"(15)"</f>
        <v>(15)</v>
      </c>
      <c r="M240" s="102" t="e">
        <f>'kuni 2025 detsember tegevuskava'!#REF!</f>
        <v>#REF!</v>
      </c>
      <c r="N240" s="103" t="str">
        <f>"(15)"</f>
        <v>(15)</v>
      </c>
      <c r="O240" s="97" t="e">
        <f>'kuni 2025 detsember tegevuskava'!#REF!</f>
        <v>#REF!</v>
      </c>
      <c r="P240" s="87" t="str">
        <f>"(15)"</f>
        <v>(15)</v>
      </c>
    </row>
    <row r="241" spans="2:16" ht="16.5" x14ac:dyDescent="0.35">
      <c r="B241" s="145"/>
      <c r="C241" s="8"/>
      <c r="D241" s="8"/>
      <c r="E241" s="8"/>
      <c r="F241" s="8"/>
      <c r="G241" s="8"/>
      <c r="H241" s="192"/>
      <c r="I241" s="102" t="e">
        <f>SUM(K241+M241+O241)</f>
        <v>#REF!</v>
      </c>
      <c r="J241" s="103" t="str">
        <f>"(50)"</f>
        <v>(50)</v>
      </c>
      <c r="K241" s="97" t="e">
        <f>'kuni 2025 detsember tegevuskava'!#REF!</f>
        <v>#REF!</v>
      </c>
      <c r="L241" s="98" t="str">
        <f>"(50)"</f>
        <v>(50)</v>
      </c>
      <c r="M241" s="102" t="e">
        <f>'kuni 2025 detsember tegevuskava'!#REF!</f>
        <v>#REF!</v>
      </c>
      <c r="N241" s="103" t="str">
        <f>"(50)"</f>
        <v>(50)</v>
      </c>
      <c r="O241" s="97" t="e">
        <f>'kuni 2025 detsember tegevuskava'!#REF!</f>
        <v>#REF!</v>
      </c>
      <c r="P241" s="87" t="str">
        <f>"(50)"</f>
        <v>(50)</v>
      </c>
    </row>
    <row r="242" spans="2:16" ht="16.5" x14ac:dyDescent="0.35">
      <c r="B242" s="145"/>
      <c r="C242" s="8"/>
      <c r="D242" s="8"/>
      <c r="E242" s="8"/>
      <c r="F242" s="8"/>
      <c r="G242" s="8"/>
      <c r="H242" s="192"/>
      <c r="I242" s="102" t="e">
        <f>SUM(K242+M242+O242)</f>
        <v>#REF!</v>
      </c>
      <c r="J242" s="105" t="str">
        <f>"(55)"</f>
        <v>(55)</v>
      </c>
      <c r="K242" s="99" t="e">
        <f>'kuni 2025 detsember tegevuskava'!#REF!</f>
        <v>#REF!</v>
      </c>
      <c r="L242" s="88" t="str">
        <f>"(55)"</f>
        <v>(55)</v>
      </c>
      <c r="M242" s="104" t="e">
        <f>'kuni 2025 detsember tegevuskava'!#REF!</f>
        <v>#REF!</v>
      </c>
      <c r="N242" s="105" t="str">
        <f>"(55)"</f>
        <v>(55)</v>
      </c>
      <c r="O242" s="99" t="e">
        <f>'kuni 2025 detsember tegevuskava'!#REF!</f>
        <v>#REF!</v>
      </c>
      <c r="P242" s="90" t="str">
        <f>"(55)"</f>
        <v>(55)</v>
      </c>
    </row>
    <row r="243" spans="2:16" ht="16.5" x14ac:dyDescent="0.35">
      <c r="B243" s="145"/>
      <c r="C243" s="8"/>
      <c r="D243" s="8"/>
      <c r="E243" s="8"/>
      <c r="F243" s="8"/>
      <c r="G243" s="8"/>
      <c r="H243" s="192"/>
      <c r="I243" s="183" t="s">
        <v>553</v>
      </c>
      <c r="J243" s="8"/>
      <c r="K243" s="8"/>
      <c r="L243" s="8"/>
      <c r="M243" s="8"/>
      <c r="N243" s="8"/>
      <c r="O243" s="8"/>
      <c r="P243" s="159"/>
    </row>
    <row r="244" spans="2:16" ht="16.5" x14ac:dyDescent="0.35">
      <c r="B244" s="145"/>
      <c r="C244" s="8"/>
      <c r="D244" s="8"/>
      <c r="E244" s="8"/>
      <c r="F244" s="8"/>
      <c r="G244" s="8"/>
      <c r="H244" s="192"/>
      <c r="I244" s="179" t="e">
        <f>SUM(I245:I247)</f>
        <v>#REF!</v>
      </c>
      <c r="J244" s="101"/>
      <c r="K244" s="91" t="e">
        <f>SUM(K245:K247)</f>
        <v>#REF!</v>
      </c>
      <c r="L244" s="92"/>
      <c r="M244" s="100" t="e">
        <f>SUM(M245:M247)</f>
        <v>#REF!</v>
      </c>
      <c r="N244" s="106"/>
      <c r="O244" s="100" t="e">
        <f>SUM(O245:O247)</f>
        <v>#REF!</v>
      </c>
      <c r="P244" s="134"/>
    </row>
    <row r="245" spans="2:16" ht="16.5" x14ac:dyDescent="0.35">
      <c r="B245" s="145"/>
      <c r="C245" s="8"/>
      <c r="D245" s="8"/>
      <c r="E245" s="8"/>
      <c r="F245" s="8"/>
      <c r="G245" s="8"/>
      <c r="H245" s="192"/>
      <c r="I245" s="102" t="e">
        <f>SUM(K245+M245+O245)</f>
        <v>#REF!</v>
      </c>
      <c r="J245" s="103" t="str">
        <f>"(15)"</f>
        <v>(15)</v>
      </c>
      <c r="K245" s="97" t="e">
        <f>SUM(K240*1.2)</f>
        <v>#REF!</v>
      </c>
      <c r="L245" s="98" t="str">
        <f>"(15)"</f>
        <v>(15)</v>
      </c>
      <c r="M245" s="102" t="e">
        <f>SUM(M240*1.22)</f>
        <v>#REF!</v>
      </c>
      <c r="N245" s="103" t="str">
        <f>"(15)"</f>
        <v>(15)</v>
      </c>
      <c r="O245" s="102" t="e">
        <f>SUM(O240*1.22)</f>
        <v>#REF!</v>
      </c>
      <c r="P245" s="87" t="str">
        <f>"(15)"</f>
        <v>(15)</v>
      </c>
    </row>
    <row r="246" spans="2:16" ht="16.5" x14ac:dyDescent="0.35">
      <c r="B246" s="145"/>
      <c r="C246" s="8"/>
      <c r="D246" s="8"/>
      <c r="E246" s="8"/>
      <c r="F246" s="8"/>
      <c r="G246" s="8"/>
      <c r="H246" s="192"/>
      <c r="I246" s="102" t="e">
        <f>SUM(K246+M246+O246)</f>
        <v>#REF!</v>
      </c>
      <c r="J246" s="103" t="str">
        <f>"(50)"</f>
        <v>(50)</v>
      </c>
      <c r="K246" s="97" t="e">
        <f>K241</f>
        <v>#REF!</v>
      </c>
      <c r="L246" s="98" t="str">
        <f>"(50)"</f>
        <v>(50)</v>
      </c>
      <c r="M246" s="102" t="e">
        <f>M241</f>
        <v>#REF!</v>
      </c>
      <c r="N246" s="103" t="str">
        <f>"(50)"</f>
        <v>(50)</v>
      </c>
      <c r="O246" s="102" t="e">
        <f>O241</f>
        <v>#REF!</v>
      </c>
      <c r="P246" s="87" t="str">
        <f>"(50)"</f>
        <v>(50)</v>
      </c>
    </row>
    <row r="247" spans="2:16" ht="17" thickBot="1" x14ac:dyDescent="0.4">
      <c r="B247" s="160"/>
      <c r="C247" s="161"/>
      <c r="D247" s="161"/>
      <c r="E247" s="161"/>
      <c r="F247" s="161"/>
      <c r="G247" s="161"/>
      <c r="H247" s="193"/>
      <c r="I247" s="130" t="e">
        <f>SUM(K247+M247+O247)</f>
        <v>#REF!</v>
      </c>
      <c r="J247" s="131" t="str">
        <f>"(55)"</f>
        <v>(55)</v>
      </c>
      <c r="K247" s="93" t="e">
        <f>SUM(K242*1.2)</f>
        <v>#REF!</v>
      </c>
      <c r="L247" s="94" t="str">
        <f>"(55)"</f>
        <v>(55)</v>
      </c>
      <c r="M247" s="130" t="e">
        <f>SUM(M242*1.22)</f>
        <v>#REF!</v>
      </c>
      <c r="N247" s="131" t="str">
        <f>"(55)"</f>
        <v>(55)</v>
      </c>
      <c r="O247" s="130" t="e">
        <f>SUM(O242*1.22)</f>
        <v>#REF!</v>
      </c>
      <c r="P247" s="96" t="str">
        <f>"(55)"</f>
        <v>(55)</v>
      </c>
    </row>
    <row r="248" spans="2:16" ht="16.5" x14ac:dyDescent="0.35">
      <c r="B248" s="187" t="e">
        <f>'kuni 2025 detsember tegevuskava'!#REF!&amp;"/"&amp;'kuni 2025 detsember tegevuskava'!#REF!</f>
        <v>#REF!</v>
      </c>
      <c r="C248" s="156" t="e">
        <f>'kuni 2025 detsember tegevuskava'!#REF!</f>
        <v>#REF!</v>
      </c>
      <c r="D248" s="156" t="e">
        <f>'kuni 2025 detsember tegevuskava'!#REF!</f>
        <v>#REF!</v>
      </c>
      <c r="E248" s="156" t="e">
        <f>'kuni 2025 detsember tegevuskava'!#REF!</f>
        <v>#REF!</v>
      </c>
      <c r="F248" s="156" t="e">
        <f>'kuni 2025 detsember tegevuskava'!#REF!&amp;"/"</f>
        <v>#REF!</v>
      </c>
      <c r="G248" s="156" t="e" cm="1">
        <f t="array" ref="G248">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48" s="194" t="e" cm="1">
        <f t="array" ref="H248">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48" s="132" t="e">
        <f>SUM(I249:I251)</f>
        <v>#REF!</v>
      </c>
      <c r="J248" s="133"/>
      <c r="K248" s="81" t="e">
        <f>SUM(K249:K251)</f>
        <v>#REF!</v>
      </c>
      <c r="L248" s="83"/>
      <c r="M248" s="132" t="e">
        <f>SUM(M249:M251)</f>
        <v>#REF!</v>
      </c>
      <c r="N248" s="133"/>
      <c r="O248" s="81" t="e">
        <f>SUM(O249:O251)</f>
        <v>#REF!</v>
      </c>
      <c r="P248" s="85"/>
    </row>
    <row r="249" spans="2:16" ht="16.5" x14ac:dyDescent="0.35">
      <c r="B249" s="145"/>
      <c r="C249" s="8"/>
      <c r="D249" s="8"/>
      <c r="E249" s="8"/>
      <c r="F249" s="8"/>
      <c r="G249" s="8"/>
      <c r="H249" s="192"/>
      <c r="I249" s="102" t="e">
        <f>SUM(K249+M249+O249)</f>
        <v>#REF!</v>
      </c>
      <c r="J249" s="103" t="str">
        <f>"(15)"</f>
        <v>(15)</v>
      </c>
      <c r="K249" s="97" t="e">
        <f>'kuni 2025 detsember tegevuskava'!#REF!</f>
        <v>#REF!</v>
      </c>
      <c r="L249" s="98" t="str">
        <f>"(15)"</f>
        <v>(15)</v>
      </c>
      <c r="M249" s="102" t="e">
        <f>'kuni 2025 detsember tegevuskava'!#REF!</f>
        <v>#REF!</v>
      </c>
      <c r="N249" s="103" t="str">
        <f>"(15)"</f>
        <v>(15)</v>
      </c>
      <c r="O249" s="97" t="e">
        <f>'kuni 2025 detsember tegevuskava'!#REF!</f>
        <v>#REF!</v>
      </c>
      <c r="P249" s="87" t="str">
        <f>"(15)"</f>
        <v>(15)</v>
      </c>
    </row>
    <row r="250" spans="2:16" ht="16.5" x14ac:dyDescent="0.35">
      <c r="B250" s="145"/>
      <c r="C250" s="8"/>
      <c r="D250" s="8"/>
      <c r="E250" s="8"/>
      <c r="F250" s="8"/>
      <c r="G250" s="8"/>
      <c r="H250" s="192"/>
      <c r="I250" s="102" t="e">
        <f>SUM(K250+M250+O250)</f>
        <v>#REF!</v>
      </c>
      <c r="J250" s="103" t="str">
        <f>"(50)"</f>
        <v>(50)</v>
      </c>
      <c r="K250" s="97" t="e">
        <f>'kuni 2025 detsember tegevuskava'!#REF!</f>
        <v>#REF!</v>
      </c>
      <c r="L250" s="98" t="str">
        <f>"(50)"</f>
        <v>(50)</v>
      </c>
      <c r="M250" s="102" t="e">
        <f>'kuni 2025 detsember tegevuskava'!#REF!</f>
        <v>#REF!</v>
      </c>
      <c r="N250" s="103" t="str">
        <f>"(50)"</f>
        <v>(50)</v>
      </c>
      <c r="O250" s="97" t="e">
        <f>'kuni 2025 detsember tegevuskava'!#REF!</f>
        <v>#REF!</v>
      </c>
      <c r="P250" s="87" t="str">
        <f>"(50)"</f>
        <v>(50)</v>
      </c>
    </row>
    <row r="251" spans="2:16" ht="16.5" x14ac:dyDescent="0.35">
      <c r="B251" s="145"/>
      <c r="C251" s="8"/>
      <c r="D251" s="8"/>
      <c r="E251" s="8"/>
      <c r="F251" s="8"/>
      <c r="G251" s="8"/>
      <c r="H251" s="192"/>
      <c r="I251" s="104" t="e">
        <f>SUM(K251+M251+O251)</f>
        <v>#REF!</v>
      </c>
      <c r="J251" s="105" t="str">
        <f>"(55)"</f>
        <v>(55)</v>
      </c>
      <c r="K251" s="99" t="e">
        <f>'kuni 2025 detsember tegevuskava'!#REF!</f>
        <v>#REF!</v>
      </c>
      <c r="L251" s="88" t="str">
        <f>"(55)"</f>
        <v>(55)</v>
      </c>
      <c r="M251" s="104" t="e">
        <f>'kuni 2025 detsember tegevuskava'!#REF!</f>
        <v>#REF!</v>
      </c>
      <c r="N251" s="105" t="str">
        <f>"(55)"</f>
        <v>(55)</v>
      </c>
      <c r="O251" s="99" t="e">
        <f>'kuni 2025 detsember tegevuskava'!#REF!</f>
        <v>#REF!</v>
      </c>
      <c r="P251" s="90" t="str">
        <f>"(55)"</f>
        <v>(55)</v>
      </c>
    </row>
    <row r="252" spans="2:16" ht="16.5" x14ac:dyDescent="0.35">
      <c r="B252" s="145"/>
      <c r="C252" s="8"/>
      <c r="D252" s="8"/>
      <c r="E252" s="8"/>
      <c r="F252" s="8"/>
      <c r="G252" s="8"/>
      <c r="H252" s="192"/>
      <c r="I252" s="183" t="s">
        <v>553</v>
      </c>
      <c r="J252" s="8"/>
      <c r="K252" s="8"/>
      <c r="L252" s="8"/>
      <c r="M252" s="8"/>
      <c r="N252" s="8"/>
      <c r="O252" s="8"/>
      <c r="P252" s="159"/>
    </row>
    <row r="253" spans="2:16" ht="16.5" x14ac:dyDescent="0.35">
      <c r="B253" s="145"/>
      <c r="C253" s="8"/>
      <c r="D253" s="8"/>
      <c r="E253" s="8"/>
      <c r="F253" s="8"/>
      <c r="G253" s="8"/>
      <c r="H253" s="192"/>
      <c r="I253" s="100" t="e">
        <f>SUM(I254:I256)</f>
        <v>#REF!</v>
      </c>
      <c r="J253" s="101"/>
      <c r="K253" s="91" t="e">
        <f>SUM(K254:K256)</f>
        <v>#REF!</v>
      </c>
      <c r="L253" s="92"/>
      <c r="M253" s="100" t="e">
        <f>SUM(M254:M256)</f>
        <v>#REF!</v>
      </c>
      <c r="N253" s="106"/>
      <c r="O253" s="100" t="e">
        <f>SUM(O254:O256)</f>
        <v>#REF!</v>
      </c>
      <c r="P253" s="134"/>
    </row>
    <row r="254" spans="2:16" ht="16.5" x14ac:dyDescent="0.35">
      <c r="B254" s="145"/>
      <c r="C254" s="8"/>
      <c r="D254" s="8"/>
      <c r="E254" s="8"/>
      <c r="F254" s="8"/>
      <c r="G254" s="8"/>
      <c r="H254" s="192"/>
      <c r="I254" s="102" t="e">
        <f>SUM(K254+M254+O254)</f>
        <v>#REF!</v>
      </c>
      <c r="J254" s="103" t="str">
        <f>"(15)"</f>
        <v>(15)</v>
      </c>
      <c r="K254" s="97" t="e">
        <f>SUM(K249*1.2)</f>
        <v>#REF!</v>
      </c>
      <c r="L254" s="98" t="str">
        <f>"(15)"</f>
        <v>(15)</v>
      </c>
      <c r="M254" s="102" t="e">
        <f>SUM(M249*1.22)</f>
        <v>#REF!</v>
      </c>
      <c r="N254" s="103" t="str">
        <f>"(15)"</f>
        <v>(15)</v>
      </c>
      <c r="O254" s="102" t="e">
        <f>SUM(O249*1.22)</f>
        <v>#REF!</v>
      </c>
      <c r="P254" s="87" t="str">
        <f>"(15)"</f>
        <v>(15)</v>
      </c>
    </row>
    <row r="255" spans="2:16" ht="16.5" x14ac:dyDescent="0.35">
      <c r="B255" s="145"/>
      <c r="C255" s="8"/>
      <c r="D255" s="8"/>
      <c r="E255" s="8"/>
      <c r="F255" s="8"/>
      <c r="G255" s="8"/>
      <c r="H255" s="192"/>
      <c r="I255" s="102" t="e">
        <f>SUM(K255+M255+O255)</f>
        <v>#REF!</v>
      </c>
      <c r="J255" s="103" t="str">
        <f>"(50)"</f>
        <v>(50)</v>
      </c>
      <c r="K255" s="97" t="e">
        <f>K250</f>
        <v>#REF!</v>
      </c>
      <c r="L255" s="98" t="str">
        <f>"(50)"</f>
        <v>(50)</v>
      </c>
      <c r="M255" s="102" t="e">
        <f>M250</f>
        <v>#REF!</v>
      </c>
      <c r="N255" s="103" t="str">
        <f>"(50)"</f>
        <v>(50)</v>
      </c>
      <c r="O255" s="102" t="e">
        <f>O250</f>
        <v>#REF!</v>
      </c>
      <c r="P255" s="87" t="str">
        <f>"(50)"</f>
        <v>(50)</v>
      </c>
    </row>
    <row r="256" spans="2:16" ht="17" thickBot="1" x14ac:dyDescent="0.4">
      <c r="B256" s="160"/>
      <c r="C256" s="161"/>
      <c r="D256" s="161"/>
      <c r="E256" s="161"/>
      <c r="F256" s="161"/>
      <c r="G256" s="161"/>
      <c r="H256" s="193"/>
      <c r="I256" s="130" t="e">
        <f>SUM(K256+M256+O256)</f>
        <v>#REF!</v>
      </c>
      <c r="J256" s="131" t="str">
        <f>"(55)"</f>
        <v>(55)</v>
      </c>
      <c r="K256" s="93" t="e">
        <f>SUM(K251*1.2)</f>
        <v>#REF!</v>
      </c>
      <c r="L256" s="94" t="str">
        <f>"(55)"</f>
        <v>(55)</v>
      </c>
      <c r="M256" s="130" t="e">
        <f>SUM(M251*1.22)</f>
        <v>#REF!</v>
      </c>
      <c r="N256" s="131" t="str">
        <f>"(55)"</f>
        <v>(55)</v>
      </c>
      <c r="O256" s="130" t="e">
        <f>SUM(O251*1.22)</f>
        <v>#REF!</v>
      </c>
      <c r="P256" s="96" t="str">
        <f>"(55)"</f>
        <v>(55)</v>
      </c>
    </row>
    <row r="257" spans="2:16" ht="16.5" x14ac:dyDescent="0.35">
      <c r="B257" s="187" t="e">
        <f>'kuni 2025 detsember tegevuskava'!#REF!&amp;"/"&amp;'kuni 2025 detsember tegevuskava'!#REF!</f>
        <v>#REF!</v>
      </c>
      <c r="C257" s="156" t="e">
        <f>'kuni 2025 detsember tegevuskava'!#REF!</f>
        <v>#REF!</v>
      </c>
      <c r="D257" s="156" t="e">
        <f>'kuni 2025 detsember tegevuskava'!#REF!</f>
        <v>#REF!</v>
      </c>
      <c r="E257" s="156" t="e">
        <f>'kuni 2025 detsember tegevuskava'!#REF!</f>
        <v>#REF!</v>
      </c>
      <c r="F257" s="156" t="e">
        <f>'kuni 2025 detsember tegevuskava'!#REF!&amp;"/"</f>
        <v>#REF!</v>
      </c>
      <c r="G257" s="156" t="e" cm="1">
        <f t="array" ref="G257">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57" s="194" t="e" cm="1">
        <f t="array" ref="H257">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57" s="132" t="e">
        <f>SUM(I258:I260)</f>
        <v>#REF!</v>
      </c>
      <c r="J257" s="133"/>
      <c r="K257" s="81" t="e">
        <f>SUM(K258:K260)</f>
        <v>#REF!</v>
      </c>
      <c r="L257" s="83"/>
      <c r="M257" s="132" t="e">
        <f>SUM(M258:M260)</f>
        <v>#REF!</v>
      </c>
      <c r="N257" s="133"/>
      <c r="O257" s="81" t="e">
        <f>SUM(O258:O260)</f>
        <v>#REF!</v>
      </c>
      <c r="P257" s="85"/>
    </row>
    <row r="258" spans="2:16" ht="16.5" x14ac:dyDescent="0.35">
      <c r="B258" s="145"/>
      <c r="C258" s="8"/>
      <c r="D258" s="8"/>
      <c r="E258" s="8"/>
      <c r="F258" s="8"/>
      <c r="G258" s="8"/>
      <c r="H258" s="192"/>
      <c r="I258" s="102" t="e">
        <f>SUM(K258+M258+O258)</f>
        <v>#REF!</v>
      </c>
      <c r="J258" s="103" t="str">
        <f>"(15)"</f>
        <v>(15)</v>
      </c>
      <c r="K258" s="97" t="e">
        <f>'kuni 2025 detsember tegevuskava'!#REF!</f>
        <v>#REF!</v>
      </c>
      <c r="L258" s="98" t="str">
        <f>"(15)"</f>
        <v>(15)</v>
      </c>
      <c r="M258" s="102" t="e">
        <f>'kuni 2025 detsember tegevuskava'!#REF!</f>
        <v>#REF!</v>
      </c>
      <c r="N258" s="103" t="str">
        <f>"(15)"</f>
        <v>(15)</v>
      </c>
      <c r="O258" s="97" t="e">
        <f>'kuni 2025 detsember tegevuskava'!#REF!</f>
        <v>#REF!</v>
      </c>
      <c r="P258" s="87" t="str">
        <f>"(15)"</f>
        <v>(15)</v>
      </c>
    </row>
    <row r="259" spans="2:16" ht="16.5" x14ac:dyDescent="0.35">
      <c r="B259" s="145"/>
      <c r="C259" s="8"/>
      <c r="D259" s="8"/>
      <c r="E259" s="8"/>
      <c r="F259" s="8"/>
      <c r="G259" s="8"/>
      <c r="H259" s="192"/>
      <c r="I259" s="102" t="e">
        <f>SUM(K259+M259+O259)</f>
        <v>#REF!</v>
      </c>
      <c r="J259" s="103" t="str">
        <f>"(50)"</f>
        <v>(50)</v>
      </c>
      <c r="K259" s="97" t="e">
        <f>'kuni 2025 detsember tegevuskava'!#REF!</f>
        <v>#REF!</v>
      </c>
      <c r="L259" s="98" t="str">
        <f>"(50)"</f>
        <v>(50)</v>
      </c>
      <c r="M259" s="102" t="e">
        <f>'kuni 2025 detsember tegevuskava'!#REF!</f>
        <v>#REF!</v>
      </c>
      <c r="N259" s="103" t="str">
        <f>"(50)"</f>
        <v>(50)</v>
      </c>
      <c r="O259" s="97" t="e">
        <f>'kuni 2025 detsember tegevuskava'!#REF!</f>
        <v>#REF!</v>
      </c>
      <c r="P259" s="87" t="str">
        <f>"(50)"</f>
        <v>(50)</v>
      </c>
    </row>
    <row r="260" spans="2:16" ht="16.5" x14ac:dyDescent="0.35">
      <c r="B260" s="145"/>
      <c r="C260" s="8"/>
      <c r="D260" s="8"/>
      <c r="E260" s="8"/>
      <c r="F260" s="8"/>
      <c r="G260" s="8"/>
      <c r="H260" s="192"/>
      <c r="I260" s="104" t="e">
        <f>SUM(K260+M260+O260)</f>
        <v>#REF!</v>
      </c>
      <c r="J260" s="105" t="str">
        <f>"(55)"</f>
        <v>(55)</v>
      </c>
      <c r="K260" s="99" t="e">
        <f>'kuni 2025 detsember tegevuskava'!#REF!</f>
        <v>#REF!</v>
      </c>
      <c r="L260" s="88" t="str">
        <f>"(55)"</f>
        <v>(55)</v>
      </c>
      <c r="M260" s="104" t="e">
        <f>'kuni 2025 detsember tegevuskava'!#REF!</f>
        <v>#REF!</v>
      </c>
      <c r="N260" s="105" t="str">
        <f>"(55)"</f>
        <v>(55)</v>
      </c>
      <c r="O260" s="99" t="e">
        <f>'kuni 2025 detsember tegevuskava'!#REF!</f>
        <v>#REF!</v>
      </c>
      <c r="P260" s="90" t="str">
        <f>"(55)"</f>
        <v>(55)</v>
      </c>
    </row>
    <row r="261" spans="2:16" ht="16.5" x14ac:dyDescent="0.35">
      <c r="B261" s="145"/>
      <c r="C261" s="8"/>
      <c r="D261" s="8"/>
      <c r="E261" s="8"/>
      <c r="F261" s="8"/>
      <c r="G261" s="8"/>
      <c r="H261" s="192"/>
      <c r="I261" s="151" t="s">
        <v>553</v>
      </c>
      <c r="J261" s="8"/>
      <c r="K261" s="8"/>
      <c r="L261" s="8"/>
      <c r="M261" s="8"/>
      <c r="N261" s="8"/>
      <c r="O261" s="8"/>
      <c r="P261" s="159"/>
    </row>
    <row r="262" spans="2:16" ht="16.5" x14ac:dyDescent="0.35">
      <c r="B262" s="145"/>
      <c r="C262" s="8"/>
      <c r="D262" s="8"/>
      <c r="E262" s="8"/>
      <c r="F262" s="8"/>
      <c r="G262" s="8"/>
      <c r="H262" s="192"/>
      <c r="I262" s="100" t="e">
        <f>SUM(I263:I265)</f>
        <v>#REF!</v>
      </c>
      <c r="J262" s="101"/>
      <c r="K262" s="91" t="e">
        <f>SUM(K263:K265)</f>
        <v>#REF!</v>
      </c>
      <c r="L262" s="92"/>
      <c r="M262" s="100" t="e">
        <f>SUM(M263:M265)</f>
        <v>#REF!</v>
      </c>
      <c r="N262" s="106"/>
      <c r="O262" s="100" t="e">
        <f>SUM(O263:O265)</f>
        <v>#REF!</v>
      </c>
      <c r="P262" s="134"/>
    </row>
    <row r="263" spans="2:16" ht="16.5" x14ac:dyDescent="0.35">
      <c r="B263" s="145"/>
      <c r="C263" s="8"/>
      <c r="D263" s="8"/>
      <c r="E263" s="8"/>
      <c r="F263" s="8"/>
      <c r="G263" s="8"/>
      <c r="H263" s="192"/>
      <c r="I263" s="102" t="e">
        <f>SUM(K263+M263+O263)</f>
        <v>#REF!</v>
      </c>
      <c r="J263" s="103" t="str">
        <f>"(15)"</f>
        <v>(15)</v>
      </c>
      <c r="K263" s="97" t="e">
        <f>SUM(K258*1.2)</f>
        <v>#REF!</v>
      </c>
      <c r="L263" s="98" t="str">
        <f>"(15)"</f>
        <v>(15)</v>
      </c>
      <c r="M263" s="102" t="e">
        <f>SUM(M258*1.22)</f>
        <v>#REF!</v>
      </c>
      <c r="N263" s="103" t="str">
        <f>"(15)"</f>
        <v>(15)</v>
      </c>
      <c r="O263" s="102" t="e">
        <f>SUM(O258*1.22)</f>
        <v>#REF!</v>
      </c>
      <c r="P263" s="87" t="str">
        <f>"(15)"</f>
        <v>(15)</v>
      </c>
    </row>
    <row r="264" spans="2:16" ht="16.5" x14ac:dyDescent="0.35">
      <c r="B264" s="145"/>
      <c r="C264" s="8"/>
      <c r="D264" s="8"/>
      <c r="E264" s="8"/>
      <c r="F264" s="8"/>
      <c r="G264" s="8"/>
      <c r="H264" s="192"/>
      <c r="I264" s="102" t="e">
        <f>SUM(K264+M264+O264)</f>
        <v>#REF!</v>
      </c>
      <c r="J264" s="103" t="str">
        <f>"(50)"</f>
        <v>(50)</v>
      </c>
      <c r="K264" s="97" t="e">
        <f>K259</f>
        <v>#REF!</v>
      </c>
      <c r="L264" s="98" t="str">
        <f>"(50)"</f>
        <v>(50)</v>
      </c>
      <c r="M264" s="102" t="e">
        <f>M259</f>
        <v>#REF!</v>
      </c>
      <c r="N264" s="103" t="str">
        <f>"(50)"</f>
        <v>(50)</v>
      </c>
      <c r="O264" s="102" t="e">
        <f>O259</f>
        <v>#REF!</v>
      </c>
      <c r="P264" s="87" t="str">
        <f>"(50)"</f>
        <v>(50)</v>
      </c>
    </row>
    <row r="265" spans="2:16" ht="17" thickBot="1" x14ac:dyDescent="0.4">
      <c r="B265" s="160"/>
      <c r="C265" s="161"/>
      <c r="D265" s="161"/>
      <c r="E265" s="161"/>
      <c r="F265" s="161"/>
      <c r="G265" s="161"/>
      <c r="H265" s="193"/>
      <c r="I265" s="130" t="e">
        <f>SUM(K265+M265+O265)</f>
        <v>#REF!</v>
      </c>
      <c r="J265" s="131" t="str">
        <f>"(55)"</f>
        <v>(55)</v>
      </c>
      <c r="K265" s="93" t="e">
        <f>SUM(K260*1.2)</f>
        <v>#REF!</v>
      </c>
      <c r="L265" s="94" t="str">
        <f>"(55)"</f>
        <v>(55)</v>
      </c>
      <c r="M265" s="130" t="e">
        <f>SUM(M260*1.22)</f>
        <v>#REF!</v>
      </c>
      <c r="N265" s="131" t="str">
        <f>"(55)"</f>
        <v>(55)</v>
      </c>
      <c r="O265" s="130" t="e">
        <f>SUM(O260*1.22)</f>
        <v>#REF!</v>
      </c>
      <c r="P265" s="96" t="str">
        <f>"(55)"</f>
        <v>(55)</v>
      </c>
    </row>
    <row r="266" spans="2:16" ht="16.5" x14ac:dyDescent="0.35">
      <c r="B266" s="187" t="e">
        <f>'kuni 2025 detsember tegevuskava'!#REF!&amp;"/"&amp;'kuni 2025 detsember tegevuskava'!#REF!</f>
        <v>#REF!</v>
      </c>
      <c r="C266" s="156" t="e">
        <f>'kuni 2025 detsember tegevuskava'!#REF!</f>
        <v>#REF!</v>
      </c>
      <c r="D266" s="156" t="e">
        <f>'kuni 2025 detsember tegevuskava'!#REF!</f>
        <v>#REF!</v>
      </c>
      <c r="E266" s="156" t="e">
        <f>'kuni 2025 detsember tegevuskava'!#REF!</f>
        <v>#REF!</v>
      </c>
      <c r="F266" s="156" t="e">
        <f>'kuni 2025 detsember tegevuskava'!#REF!&amp;"/"</f>
        <v>#REF!</v>
      </c>
      <c r="G266" s="156" t="e" cm="1">
        <f t="array" ref="G266">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66" s="194" t="e" cm="1">
        <f t="array" ref="H266">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66" s="132" t="e">
        <f>SUM(I267:I269)</f>
        <v>#REF!</v>
      </c>
      <c r="J266" s="133"/>
      <c r="K266" s="81" t="e">
        <f>SUM(K267:K269)</f>
        <v>#REF!</v>
      </c>
      <c r="L266" s="83"/>
      <c r="M266" s="132" t="e">
        <f>SUM(M267:M269)</f>
        <v>#REF!</v>
      </c>
      <c r="N266" s="133"/>
      <c r="O266" s="81" t="e">
        <f>SUM(O267:O269)</f>
        <v>#REF!</v>
      </c>
      <c r="P266" s="85"/>
    </row>
    <row r="267" spans="2:16" ht="16.5" x14ac:dyDescent="0.35">
      <c r="B267" s="145"/>
      <c r="C267" s="8"/>
      <c r="D267" s="8"/>
      <c r="E267" s="8"/>
      <c r="F267" s="8"/>
      <c r="G267" s="8"/>
      <c r="H267" s="192"/>
      <c r="I267" s="102" t="e">
        <f>SUM(K267+M267+O267)</f>
        <v>#REF!</v>
      </c>
      <c r="J267" s="103" t="str">
        <f>"(15)"</f>
        <v>(15)</v>
      </c>
      <c r="K267" s="97" t="e">
        <f>'kuni 2025 detsember tegevuskava'!#REF!</f>
        <v>#REF!</v>
      </c>
      <c r="L267" s="98" t="str">
        <f>"(15)"</f>
        <v>(15)</v>
      </c>
      <c r="M267" s="102" t="e">
        <f>'kuni 2025 detsember tegevuskava'!#REF!</f>
        <v>#REF!</v>
      </c>
      <c r="N267" s="103" t="str">
        <f>"(15)"</f>
        <v>(15)</v>
      </c>
      <c r="O267" s="97" t="e">
        <f>'kuni 2025 detsember tegevuskava'!#REF!</f>
        <v>#REF!</v>
      </c>
      <c r="P267" s="87" t="str">
        <f>"(15)"</f>
        <v>(15)</v>
      </c>
    </row>
    <row r="268" spans="2:16" ht="16.5" x14ac:dyDescent="0.35">
      <c r="B268" s="145"/>
      <c r="C268" s="8"/>
      <c r="D268" s="8"/>
      <c r="E268" s="8"/>
      <c r="F268" s="8"/>
      <c r="G268" s="8"/>
      <c r="H268" s="192"/>
      <c r="I268" s="102" t="e">
        <f>SUM(K268+M268+O268)</f>
        <v>#REF!</v>
      </c>
      <c r="J268" s="103" t="str">
        <f>"(50)"</f>
        <v>(50)</v>
      </c>
      <c r="K268" s="97" t="e">
        <f>'kuni 2025 detsember tegevuskava'!#REF!</f>
        <v>#REF!</v>
      </c>
      <c r="L268" s="98" t="str">
        <f>"(50)"</f>
        <v>(50)</v>
      </c>
      <c r="M268" s="102" t="e">
        <f>'kuni 2025 detsember tegevuskava'!#REF!</f>
        <v>#REF!</v>
      </c>
      <c r="N268" s="103" t="str">
        <f>"(50)"</f>
        <v>(50)</v>
      </c>
      <c r="O268" s="97" t="e">
        <f>'kuni 2025 detsember tegevuskava'!#REF!</f>
        <v>#REF!</v>
      </c>
      <c r="P268" s="87" t="str">
        <f>"(50)"</f>
        <v>(50)</v>
      </c>
    </row>
    <row r="269" spans="2:16" ht="16.5" x14ac:dyDescent="0.35">
      <c r="B269" s="145"/>
      <c r="C269" s="8"/>
      <c r="D269" s="8"/>
      <c r="E269" s="8"/>
      <c r="F269" s="8"/>
      <c r="G269" s="8"/>
      <c r="H269" s="192"/>
      <c r="I269" s="104" t="e">
        <f>SUM(K269+M269+O269)</f>
        <v>#REF!</v>
      </c>
      <c r="J269" s="105" t="str">
        <f>"(55)"</f>
        <v>(55)</v>
      </c>
      <c r="K269" s="99" t="e">
        <f>'kuni 2025 detsember tegevuskava'!#REF!</f>
        <v>#REF!</v>
      </c>
      <c r="L269" s="88" t="str">
        <f>"(55)"</f>
        <v>(55)</v>
      </c>
      <c r="M269" s="104" t="e">
        <f>'kuni 2025 detsember tegevuskava'!#REF!</f>
        <v>#REF!</v>
      </c>
      <c r="N269" s="105" t="str">
        <f>"(55)"</f>
        <v>(55)</v>
      </c>
      <c r="O269" s="99" t="e">
        <f>'kuni 2025 detsember tegevuskava'!#REF!</f>
        <v>#REF!</v>
      </c>
      <c r="P269" s="90" t="str">
        <f>"(55)"</f>
        <v>(55)</v>
      </c>
    </row>
    <row r="270" spans="2:16" ht="16.5" x14ac:dyDescent="0.35">
      <c r="B270" s="145"/>
      <c r="C270" s="8"/>
      <c r="D270" s="8"/>
      <c r="E270" s="8"/>
      <c r="F270" s="8"/>
      <c r="G270" s="8"/>
      <c r="H270" s="192"/>
      <c r="I270" s="151" t="s">
        <v>553</v>
      </c>
      <c r="J270" s="8"/>
      <c r="K270" s="8"/>
      <c r="L270" s="8"/>
      <c r="M270" s="8"/>
      <c r="N270" s="8"/>
      <c r="O270" s="8"/>
      <c r="P270" s="159"/>
    </row>
    <row r="271" spans="2:16" ht="16.5" x14ac:dyDescent="0.35">
      <c r="B271" s="145"/>
      <c r="C271" s="8"/>
      <c r="D271" s="8"/>
      <c r="E271" s="8"/>
      <c r="F271" s="8"/>
      <c r="G271" s="8"/>
      <c r="H271" s="192"/>
      <c r="I271" s="100" t="e">
        <f>SUM(I272:I274)</f>
        <v>#REF!</v>
      </c>
      <c r="J271" s="101"/>
      <c r="K271" s="91" t="e">
        <f>SUM(K272:K274)</f>
        <v>#REF!</v>
      </c>
      <c r="L271" s="92"/>
      <c r="M271" s="100" t="e">
        <f>SUM(M272:M274)</f>
        <v>#REF!</v>
      </c>
      <c r="N271" s="106"/>
      <c r="O271" s="100" t="e">
        <f>SUM(O272:O274)</f>
        <v>#REF!</v>
      </c>
      <c r="P271" s="134"/>
    </row>
    <row r="272" spans="2:16" ht="16.5" x14ac:dyDescent="0.35">
      <c r="B272" s="145"/>
      <c r="C272" s="8"/>
      <c r="D272" s="8"/>
      <c r="E272" s="8"/>
      <c r="F272" s="8"/>
      <c r="G272" s="8"/>
      <c r="H272" s="192"/>
      <c r="I272" s="102" t="e">
        <f>SUM(K272+M272+O272)</f>
        <v>#REF!</v>
      </c>
      <c r="J272" s="103" t="str">
        <f>"(15)"</f>
        <v>(15)</v>
      </c>
      <c r="K272" s="97" t="e">
        <f>SUM(K267*1.2)</f>
        <v>#REF!</v>
      </c>
      <c r="L272" s="98" t="str">
        <f>"(15)"</f>
        <v>(15)</v>
      </c>
      <c r="M272" s="102" t="e">
        <f>SUM(M267*1.22)</f>
        <v>#REF!</v>
      </c>
      <c r="N272" s="103" t="str">
        <f>"(15)"</f>
        <v>(15)</v>
      </c>
      <c r="O272" s="102" t="e">
        <f>SUM(O267*1.22)</f>
        <v>#REF!</v>
      </c>
      <c r="P272" s="87" t="str">
        <f>"(15)"</f>
        <v>(15)</v>
      </c>
    </row>
    <row r="273" spans="2:16" ht="16.5" x14ac:dyDescent="0.35">
      <c r="B273" s="145"/>
      <c r="C273" s="8"/>
      <c r="D273" s="8"/>
      <c r="E273" s="8"/>
      <c r="F273" s="8"/>
      <c r="G273" s="8"/>
      <c r="H273" s="192"/>
      <c r="I273" s="102" t="e">
        <f>SUM(K273+M273+O273)</f>
        <v>#REF!</v>
      </c>
      <c r="J273" s="103" t="str">
        <f>"(50)"</f>
        <v>(50)</v>
      </c>
      <c r="K273" s="97" t="e">
        <f>K268</f>
        <v>#REF!</v>
      </c>
      <c r="L273" s="98" t="str">
        <f>"(50)"</f>
        <v>(50)</v>
      </c>
      <c r="M273" s="102" t="e">
        <f>M268</f>
        <v>#REF!</v>
      </c>
      <c r="N273" s="103" t="str">
        <f>"(50)"</f>
        <v>(50)</v>
      </c>
      <c r="O273" s="102" t="e">
        <f>O268</f>
        <v>#REF!</v>
      </c>
      <c r="P273" s="87" t="str">
        <f>"(50)"</f>
        <v>(50)</v>
      </c>
    </row>
    <row r="274" spans="2:16" ht="17" thickBot="1" x14ac:dyDescent="0.4">
      <c r="B274" s="160"/>
      <c r="C274" s="161"/>
      <c r="D274" s="161"/>
      <c r="E274" s="161"/>
      <c r="F274" s="161"/>
      <c r="G274" s="161"/>
      <c r="H274" s="193"/>
      <c r="I274" s="130" t="e">
        <f>SUM(K274+M274+O274)</f>
        <v>#REF!</v>
      </c>
      <c r="J274" s="131" t="str">
        <f>"(55)"</f>
        <v>(55)</v>
      </c>
      <c r="K274" s="93" t="e">
        <f>SUM(K269*1.2)</f>
        <v>#REF!</v>
      </c>
      <c r="L274" s="94" t="str">
        <f>"(55)"</f>
        <v>(55)</v>
      </c>
      <c r="M274" s="130" t="e">
        <f>SUM(M269*1.22)</f>
        <v>#REF!</v>
      </c>
      <c r="N274" s="131" t="str">
        <f>"(55)"</f>
        <v>(55)</v>
      </c>
      <c r="O274" s="130" t="e">
        <f>SUM(O269*1.22)</f>
        <v>#REF!</v>
      </c>
      <c r="P274" s="96" t="str">
        <f>"(55)"</f>
        <v>(55)</v>
      </c>
    </row>
    <row r="275" spans="2:16" ht="16.5" x14ac:dyDescent="0.35">
      <c r="B275" s="187" t="e">
        <f>'kuni 2025 detsember tegevuskava'!#REF!&amp;"/"&amp;'kuni 2025 detsember tegevuskava'!#REF!</f>
        <v>#REF!</v>
      </c>
      <c r="C275" s="156" t="e">
        <f>'kuni 2025 detsember tegevuskava'!#REF!</f>
        <v>#REF!</v>
      </c>
      <c r="D275" s="156" t="e">
        <f>'kuni 2025 detsember tegevuskava'!#REF!</f>
        <v>#REF!</v>
      </c>
      <c r="E275" s="156" t="e">
        <f>'kuni 2025 detsember tegevuskava'!#REF!</f>
        <v>#REF!</v>
      </c>
      <c r="F275" s="156" t="e">
        <f>'kuni 2025 detsember tegevuskava'!#REF!&amp;"/"</f>
        <v>#REF!</v>
      </c>
      <c r="G275" s="156" t="e" cm="1">
        <f t="array" ref="G275">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75" s="194" t="e" cm="1">
        <f t="array" ref="H275">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75" s="132" t="e">
        <f>SUM(I276:I278)</f>
        <v>#REF!</v>
      </c>
      <c r="J275" s="133"/>
      <c r="K275" s="81" t="e">
        <f>SUM(K276:K278)</f>
        <v>#REF!</v>
      </c>
      <c r="L275" s="83"/>
      <c r="M275" s="132" t="e">
        <f>SUM(M276:M278)</f>
        <v>#REF!</v>
      </c>
      <c r="N275" s="133"/>
      <c r="O275" s="81" t="e">
        <f>SUM(O276:O278)</f>
        <v>#REF!</v>
      </c>
      <c r="P275" s="85"/>
    </row>
    <row r="276" spans="2:16" ht="16.5" x14ac:dyDescent="0.35">
      <c r="B276" s="145"/>
      <c r="C276" s="8"/>
      <c r="D276" s="8"/>
      <c r="E276" s="8"/>
      <c r="F276" s="8"/>
      <c r="G276" s="8"/>
      <c r="H276" s="192"/>
      <c r="I276" s="102" t="e">
        <f>SUM(K276+M276+O276)</f>
        <v>#REF!</v>
      </c>
      <c r="J276" s="103" t="str">
        <f>"(15)"</f>
        <v>(15)</v>
      </c>
      <c r="K276" s="97" t="e">
        <f>'kuni 2025 detsember tegevuskava'!#REF!</f>
        <v>#REF!</v>
      </c>
      <c r="L276" s="98" t="str">
        <f>"(15)"</f>
        <v>(15)</v>
      </c>
      <c r="M276" s="102" t="e">
        <f>'kuni 2025 detsember tegevuskava'!#REF!</f>
        <v>#REF!</v>
      </c>
      <c r="N276" s="103" t="str">
        <f>"(15)"</f>
        <v>(15)</v>
      </c>
      <c r="O276" s="97" t="e">
        <f>'kuni 2025 detsember tegevuskava'!#REF!</f>
        <v>#REF!</v>
      </c>
      <c r="P276" s="87" t="str">
        <f>"(15)"</f>
        <v>(15)</v>
      </c>
    </row>
    <row r="277" spans="2:16" ht="16.5" x14ac:dyDescent="0.35">
      <c r="B277" s="145"/>
      <c r="C277" s="8"/>
      <c r="D277" s="8"/>
      <c r="E277" s="8"/>
      <c r="F277" s="8"/>
      <c r="G277" s="8"/>
      <c r="H277" s="192"/>
      <c r="I277" s="102" t="e">
        <f>SUM(K277+M277+O277)</f>
        <v>#REF!</v>
      </c>
      <c r="J277" s="103" t="str">
        <f>"(50)"</f>
        <v>(50)</v>
      </c>
      <c r="K277" s="97" t="e">
        <f>'kuni 2025 detsember tegevuskava'!#REF!</f>
        <v>#REF!</v>
      </c>
      <c r="L277" s="98" t="str">
        <f>"(50)"</f>
        <v>(50)</v>
      </c>
      <c r="M277" s="102" t="e">
        <f>'kuni 2025 detsember tegevuskava'!#REF!</f>
        <v>#REF!</v>
      </c>
      <c r="N277" s="103" t="str">
        <f>"(50)"</f>
        <v>(50)</v>
      </c>
      <c r="O277" s="97" t="e">
        <f>'kuni 2025 detsember tegevuskava'!#REF!</f>
        <v>#REF!</v>
      </c>
      <c r="P277" s="87" t="str">
        <f>"(50)"</f>
        <v>(50)</v>
      </c>
    </row>
    <row r="278" spans="2:16" ht="16.5" x14ac:dyDescent="0.35">
      <c r="B278" s="145"/>
      <c r="C278" s="8"/>
      <c r="D278" s="8"/>
      <c r="E278" s="8"/>
      <c r="F278" s="8"/>
      <c r="G278" s="8"/>
      <c r="H278" s="192"/>
      <c r="I278" s="104" t="e">
        <f>SUM(K278+M278+O278)</f>
        <v>#REF!</v>
      </c>
      <c r="J278" s="105" t="str">
        <f>"(55)"</f>
        <v>(55)</v>
      </c>
      <c r="K278" s="99" t="e">
        <f>'kuni 2025 detsember tegevuskava'!#REF!</f>
        <v>#REF!</v>
      </c>
      <c r="L278" s="88" t="str">
        <f>"(55)"</f>
        <v>(55)</v>
      </c>
      <c r="M278" s="104" t="e">
        <f>'kuni 2025 detsember tegevuskava'!#REF!</f>
        <v>#REF!</v>
      </c>
      <c r="N278" s="105" t="str">
        <f>"(55)"</f>
        <v>(55)</v>
      </c>
      <c r="O278" s="99" t="e">
        <f>'kuni 2025 detsember tegevuskava'!#REF!</f>
        <v>#REF!</v>
      </c>
      <c r="P278" s="90" t="str">
        <f>"(55)"</f>
        <v>(55)</v>
      </c>
    </row>
    <row r="279" spans="2:16" ht="16.5" x14ac:dyDescent="0.35">
      <c r="B279" s="145"/>
      <c r="C279" s="8"/>
      <c r="D279" s="8"/>
      <c r="E279" s="8"/>
      <c r="F279" s="8"/>
      <c r="G279" s="8"/>
      <c r="H279" s="192"/>
      <c r="I279" s="151" t="s">
        <v>553</v>
      </c>
      <c r="J279" s="8"/>
      <c r="K279" s="8"/>
      <c r="L279" s="8"/>
      <c r="M279" s="8"/>
      <c r="N279" s="8"/>
      <c r="O279" s="8"/>
      <c r="P279" s="159"/>
    </row>
    <row r="280" spans="2:16" ht="16.5" x14ac:dyDescent="0.35">
      <c r="B280" s="145"/>
      <c r="C280" s="8"/>
      <c r="D280" s="8"/>
      <c r="E280" s="8"/>
      <c r="F280" s="8"/>
      <c r="G280" s="8"/>
      <c r="H280" s="192"/>
      <c r="I280" s="100" t="e">
        <f>SUM(I281:I283)</f>
        <v>#REF!</v>
      </c>
      <c r="J280" s="101"/>
      <c r="K280" s="91" t="e">
        <f>SUM(K281:K283)</f>
        <v>#REF!</v>
      </c>
      <c r="L280" s="92"/>
      <c r="M280" s="100" t="e">
        <f>SUM(M281:M283)</f>
        <v>#REF!</v>
      </c>
      <c r="N280" s="106"/>
      <c r="O280" s="100" t="e">
        <f>SUM(O281:O283)</f>
        <v>#REF!</v>
      </c>
      <c r="P280" s="134"/>
    </row>
    <row r="281" spans="2:16" ht="16.5" x14ac:dyDescent="0.35">
      <c r="B281" s="145"/>
      <c r="C281" s="8"/>
      <c r="D281" s="8"/>
      <c r="E281" s="8"/>
      <c r="F281" s="8"/>
      <c r="G281" s="8"/>
      <c r="H281" s="192"/>
      <c r="I281" s="102" t="e">
        <f>SUM(K281+M281+O281)</f>
        <v>#REF!</v>
      </c>
      <c r="J281" s="103" t="str">
        <f>"(15)"</f>
        <v>(15)</v>
      </c>
      <c r="K281" s="97" t="e">
        <f>SUM(K276*1.2)</f>
        <v>#REF!</v>
      </c>
      <c r="L281" s="98" t="str">
        <f>"(15)"</f>
        <v>(15)</v>
      </c>
      <c r="M281" s="102" t="e">
        <f>SUM(M276*1.22)</f>
        <v>#REF!</v>
      </c>
      <c r="N281" s="103" t="str">
        <f>"(15)"</f>
        <v>(15)</v>
      </c>
      <c r="O281" s="102" t="e">
        <f>SUM(O276*1.22)</f>
        <v>#REF!</v>
      </c>
      <c r="P281" s="87" t="str">
        <f>"(15)"</f>
        <v>(15)</v>
      </c>
    </row>
    <row r="282" spans="2:16" ht="16.5" x14ac:dyDescent="0.35">
      <c r="B282" s="145"/>
      <c r="C282" s="8"/>
      <c r="D282" s="8"/>
      <c r="E282" s="8"/>
      <c r="F282" s="8"/>
      <c r="G282" s="8"/>
      <c r="H282" s="192"/>
      <c r="I282" s="102" t="e">
        <f>SUM(K282+M282+O282)</f>
        <v>#REF!</v>
      </c>
      <c r="J282" s="103" t="str">
        <f>"(50)"</f>
        <v>(50)</v>
      </c>
      <c r="K282" s="97" t="e">
        <f>K277</f>
        <v>#REF!</v>
      </c>
      <c r="L282" s="98" t="str">
        <f>"(50)"</f>
        <v>(50)</v>
      </c>
      <c r="M282" s="102" t="e">
        <f>M277</f>
        <v>#REF!</v>
      </c>
      <c r="N282" s="103" t="str">
        <f>"(50)"</f>
        <v>(50)</v>
      </c>
      <c r="O282" s="102" t="e">
        <f>O277</f>
        <v>#REF!</v>
      </c>
      <c r="P282" s="87" t="str">
        <f>"(50)"</f>
        <v>(50)</v>
      </c>
    </row>
    <row r="283" spans="2:16" ht="17" thickBot="1" x14ac:dyDescent="0.4">
      <c r="B283" s="160"/>
      <c r="C283" s="161"/>
      <c r="D283" s="161"/>
      <c r="E283" s="161"/>
      <c r="F283" s="161"/>
      <c r="G283" s="161"/>
      <c r="H283" s="193"/>
      <c r="I283" s="130" t="e">
        <f>SUM(K283+M283+O283)</f>
        <v>#REF!</v>
      </c>
      <c r="J283" s="131" t="str">
        <f>"(55)"</f>
        <v>(55)</v>
      </c>
      <c r="K283" s="93" t="e">
        <f>SUM(K278*1.2)</f>
        <v>#REF!</v>
      </c>
      <c r="L283" s="94" t="str">
        <f>"(55)"</f>
        <v>(55)</v>
      </c>
      <c r="M283" s="130" t="e">
        <f>SUM(M278*1.22)</f>
        <v>#REF!</v>
      </c>
      <c r="N283" s="131" t="str">
        <f>"(55)"</f>
        <v>(55)</v>
      </c>
      <c r="O283" s="130" t="e">
        <f>SUM(O278*1.22)</f>
        <v>#REF!</v>
      </c>
      <c r="P283" s="96" t="str">
        <f>"(55)"</f>
        <v>(55)</v>
      </c>
    </row>
    <row r="284" spans="2:16" ht="16.5" x14ac:dyDescent="0.35">
      <c r="B284" s="187" t="e">
        <f>'kuni 2025 detsember tegevuskava'!#REF!&amp;"/"&amp;'kuni 2025 detsember tegevuskava'!#REF!</f>
        <v>#REF!</v>
      </c>
      <c r="C284" s="156" t="e">
        <f>'kuni 2025 detsember tegevuskava'!#REF!</f>
        <v>#REF!</v>
      </c>
      <c r="D284" s="156" t="e">
        <f>'kuni 2025 detsember tegevuskava'!#REF!</f>
        <v>#REF!</v>
      </c>
      <c r="E284" s="156" t="e">
        <f>'kuni 2025 detsember tegevuskava'!#REF!</f>
        <v>#REF!</v>
      </c>
      <c r="F284" s="156" t="e">
        <f>'kuni 2025 detsember tegevuskava'!#REF!&amp;"/"</f>
        <v>#REF!</v>
      </c>
      <c r="G284" s="156" t="e" cm="1">
        <f t="array" ref="G284">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284" s="194" t="e" cm="1">
        <f t="array" ref="H284">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284" s="132" t="e">
        <f>SUM(I285:I287)</f>
        <v>#REF!</v>
      </c>
      <c r="J284" s="133"/>
      <c r="K284" s="81" t="e">
        <f>SUM(K285:K287)</f>
        <v>#REF!</v>
      </c>
      <c r="L284" s="83"/>
      <c r="M284" s="132" t="e">
        <f>SUM(M285:M287)</f>
        <v>#REF!</v>
      </c>
      <c r="N284" s="133"/>
      <c r="O284" s="81" t="e">
        <f>SUM(O285:O287)</f>
        <v>#REF!</v>
      </c>
      <c r="P284" s="85"/>
    </row>
    <row r="285" spans="2:16" ht="16.5" x14ac:dyDescent="0.35">
      <c r="B285" s="145"/>
      <c r="C285" s="8"/>
      <c r="D285" s="8"/>
      <c r="E285" s="8"/>
      <c r="F285" s="8"/>
      <c r="G285" s="8"/>
      <c r="H285" s="192"/>
      <c r="I285" s="102" t="e">
        <f>SUM(K285+M285+O285)</f>
        <v>#REF!</v>
      </c>
      <c r="J285" s="103" t="str">
        <f>"(15)"</f>
        <v>(15)</v>
      </c>
      <c r="K285" s="97" t="e">
        <f>'kuni 2025 detsember tegevuskava'!#REF!</f>
        <v>#REF!</v>
      </c>
      <c r="L285" s="98" t="str">
        <f>"(15)"</f>
        <v>(15)</v>
      </c>
      <c r="M285" s="102" t="e">
        <f>'kuni 2025 detsember tegevuskava'!#REF!</f>
        <v>#REF!</v>
      </c>
      <c r="N285" s="103" t="str">
        <f>"(15)"</f>
        <v>(15)</v>
      </c>
      <c r="O285" s="97" t="e">
        <f>'kuni 2025 detsember tegevuskava'!#REF!</f>
        <v>#REF!</v>
      </c>
      <c r="P285" s="87" t="str">
        <f>"(15)"</f>
        <v>(15)</v>
      </c>
    </row>
    <row r="286" spans="2:16" ht="16.5" x14ac:dyDescent="0.35">
      <c r="B286" s="145"/>
      <c r="C286" s="8"/>
      <c r="D286" s="8"/>
      <c r="E286" s="8"/>
      <c r="F286" s="8"/>
      <c r="G286" s="8"/>
      <c r="H286" s="192"/>
      <c r="I286" s="102" t="e">
        <f>SUM(K286+M286+O286)</f>
        <v>#REF!</v>
      </c>
      <c r="J286" s="103" t="str">
        <f>"(50)"</f>
        <v>(50)</v>
      </c>
      <c r="K286" s="97" t="e">
        <f>'kuni 2025 detsember tegevuskava'!#REF!</f>
        <v>#REF!</v>
      </c>
      <c r="L286" s="98" t="str">
        <f>"(50)"</f>
        <v>(50)</v>
      </c>
      <c r="M286" s="102" t="e">
        <f>'kuni 2025 detsember tegevuskava'!#REF!</f>
        <v>#REF!</v>
      </c>
      <c r="N286" s="103" t="str">
        <f>"(50)"</f>
        <v>(50)</v>
      </c>
      <c r="O286" s="97" t="e">
        <f>'kuni 2025 detsember tegevuskava'!#REF!</f>
        <v>#REF!</v>
      </c>
      <c r="P286" s="87" t="str">
        <f>"(50)"</f>
        <v>(50)</v>
      </c>
    </row>
    <row r="287" spans="2:16" ht="16.5" x14ac:dyDescent="0.35">
      <c r="B287" s="145"/>
      <c r="C287" s="8"/>
      <c r="D287" s="8"/>
      <c r="E287" s="8"/>
      <c r="F287" s="8"/>
      <c r="G287" s="8"/>
      <c r="H287" s="192"/>
      <c r="I287" s="104" t="e">
        <f>SUM(K287+M287+O287)</f>
        <v>#REF!</v>
      </c>
      <c r="J287" s="105" t="str">
        <f>"(55)"</f>
        <v>(55)</v>
      </c>
      <c r="K287" s="99" t="e">
        <f>'kuni 2025 detsember tegevuskava'!#REF!</f>
        <v>#REF!</v>
      </c>
      <c r="L287" s="88" t="str">
        <f>"(55)"</f>
        <v>(55)</v>
      </c>
      <c r="M287" s="104" t="e">
        <f>'kuni 2025 detsember tegevuskava'!#REF!</f>
        <v>#REF!</v>
      </c>
      <c r="N287" s="105" t="str">
        <f>"(55)"</f>
        <v>(55)</v>
      </c>
      <c r="O287" s="99" t="e">
        <f>'kuni 2025 detsember tegevuskava'!#REF!</f>
        <v>#REF!</v>
      </c>
      <c r="P287" s="90" t="str">
        <f>"(55)"</f>
        <v>(55)</v>
      </c>
    </row>
    <row r="288" spans="2:16" ht="16.5" x14ac:dyDescent="0.35">
      <c r="B288" s="145"/>
      <c r="C288" s="8"/>
      <c r="D288" s="8"/>
      <c r="E288" s="8"/>
      <c r="F288" s="8"/>
      <c r="G288" s="8"/>
      <c r="H288" s="192"/>
      <c r="I288" s="151" t="s">
        <v>553</v>
      </c>
      <c r="J288" s="8"/>
      <c r="K288" s="8"/>
      <c r="L288" s="8"/>
      <c r="M288" s="8"/>
      <c r="N288" s="8"/>
      <c r="O288" s="8"/>
      <c r="P288" s="159"/>
    </row>
    <row r="289" spans="2:16" ht="16.5" x14ac:dyDescent="0.35">
      <c r="B289" s="145"/>
      <c r="C289" s="8"/>
      <c r="D289" s="8"/>
      <c r="E289" s="8"/>
      <c r="F289" s="8"/>
      <c r="G289" s="8"/>
      <c r="H289" s="192"/>
      <c r="I289" s="100" t="e">
        <f>SUM(I290:I292)</f>
        <v>#REF!</v>
      </c>
      <c r="J289" s="182"/>
      <c r="K289" s="91" t="e">
        <f>SUM(K290:K292)</f>
        <v>#REF!</v>
      </c>
      <c r="L289" s="92"/>
      <c r="M289" s="100" t="e">
        <f>SUM(M290:M292)</f>
        <v>#REF!</v>
      </c>
      <c r="N289" s="106"/>
      <c r="O289" s="100" t="e">
        <f>SUM(O290:O292)</f>
        <v>#REF!</v>
      </c>
      <c r="P289" s="134"/>
    </row>
    <row r="290" spans="2:16" ht="16.5" x14ac:dyDescent="0.35">
      <c r="B290" s="145"/>
      <c r="C290" s="8"/>
      <c r="D290" s="8"/>
      <c r="E290" s="8"/>
      <c r="F290" s="8"/>
      <c r="G290" s="8"/>
      <c r="H290" s="192"/>
      <c r="I290" s="102" t="e">
        <f>SUM(K290+M290+O290)</f>
        <v>#REF!</v>
      </c>
      <c r="J290" s="103" t="str">
        <f>"(15)"</f>
        <v>(15)</v>
      </c>
      <c r="K290" s="97" t="e">
        <f>SUM(K285*1.2)</f>
        <v>#REF!</v>
      </c>
      <c r="L290" s="98" t="str">
        <f>"(15)"</f>
        <v>(15)</v>
      </c>
      <c r="M290" s="102" t="e">
        <f>SUM(M285*1.22)</f>
        <v>#REF!</v>
      </c>
      <c r="N290" s="103" t="str">
        <f>"(15)"</f>
        <v>(15)</v>
      </c>
      <c r="O290" s="102" t="e">
        <f>SUM(O285*1.22)</f>
        <v>#REF!</v>
      </c>
      <c r="P290" s="87" t="str">
        <f>"(15)"</f>
        <v>(15)</v>
      </c>
    </row>
    <row r="291" spans="2:16" ht="16.5" x14ac:dyDescent="0.35">
      <c r="B291" s="145"/>
      <c r="C291" s="8"/>
      <c r="D291" s="8"/>
      <c r="E291" s="8"/>
      <c r="F291" s="8"/>
      <c r="G291" s="8"/>
      <c r="H291" s="192"/>
      <c r="I291" s="102" t="e">
        <f>SUM(K291+M291+O291)</f>
        <v>#REF!</v>
      </c>
      <c r="J291" s="103" t="str">
        <f>"(50)"</f>
        <v>(50)</v>
      </c>
      <c r="K291" s="97" t="e">
        <f>K286</f>
        <v>#REF!</v>
      </c>
      <c r="L291" s="98" t="str">
        <f>"(50)"</f>
        <v>(50)</v>
      </c>
      <c r="M291" s="102" t="e">
        <f>M286</f>
        <v>#REF!</v>
      </c>
      <c r="N291" s="103" t="str">
        <f>"(50)"</f>
        <v>(50)</v>
      </c>
      <c r="O291" s="102" t="e">
        <f>O286</f>
        <v>#REF!</v>
      </c>
      <c r="P291" s="87" t="str">
        <f>"(50)"</f>
        <v>(50)</v>
      </c>
    </row>
    <row r="292" spans="2:16" ht="17" thickBot="1" x14ac:dyDescent="0.4">
      <c r="B292" s="160"/>
      <c r="C292" s="161"/>
      <c r="D292" s="161"/>
      <c r="E292" s="161"/>
      <c r="F292" s="161"/>
      <c r="G292" s="161"/>
      <c r="H292" s="193"/>
      <c r="I292" s="130" t="e">
        <f>SUM(K292+M292+O292)</f>
        <v>#REF!</v>
      </c>
      <c r="J292" s="131" t="str">
        <f>"(55)"</f>
        <v>(55)</v>
      </c>
      <c r="K292" s="93" t="e">
        <f>SUM(K287*1.2)</f>
        <v>#REF!</v>
      </c>
      <c r="L292" s="94" t="str">
        <f>"(55)"</f>
        <v>(55)</v>
      </c>
      <c r="M292" s="130" t="e">
        <f>SUM(M287*1.22)</f>
        <v>#REF!</v>
      </c>
      <c r="N292" s="131" t="str">
        <f>"(55)"</f>
        <v>(55)</v>
      </c>
      <c r="O292" s="130" t="e">
        <f>SUM(O287*1.22)</f>
        <v>#REF!</v>
      </c>
      <c r="P292" s="96" t="str">
        <f>"(55)"</f>
        <v>(55)</v>
      </c>
    </row>
    <row r="293" spans="2:16" ht="16.5" x14ac:dyDescent="0.35">
      <c r="B293" s="187" t="str">
        <f>'kuni 2025 detsember tegevuskava'!A40&amp;"/"&amp;'kuni 2025 detsember tegevuskava'!C40</f>
        <v>Sotsiaalministeerium/</v>
      </c>
      <c r="C293" s="156">
        <f>'kuni 2025 detsember tegevuskava'!I40</f>
        <v>0</v>
      </c>
      <c r="D293" s="156" t="str">
        <f>'kuni 2025 detsember tegevuskava'!J40</f>
        <v>Laste ja perede toetamine</v>
      </c>
      <c r="E293" s="156">
        <f>'kuni 2025 detsember tegevuskava'!K40</f>
        <v>0</v>
      </c>
      <c r="F293" s="156" t="str">
        <f>'kuni 2025 detsember tegevuskava'!O40&amp;"/"</f>
        <v>Muu rahastus/</v>
      </c>
      <c r="G293" s="156" cm="1">
        <f t="array" ref="G293">_xlfn.IFS('kuni 2025 detsember tegevuskava'!G40='kuni 2025 detsember tegevuskava'!$G$77,1,'kuni 2025 detsember tegevuskava'!G40='kuni 2025 detsember tegevuskava'!$G$78,2,'kuni 2025 detsember tegevuskava'!G40='kuni 2025 detsember tegevuskava'!$G$79,3,'kuni 2025 detsember tegevuskava'!G40='kuni 2025 detsember tegevuskava'!$G$80,4)</f>
        <v>4</v>
      </c>
      <c r="H293" s="194" cm="1">
        <f t="array" ref="H293">_xlfn.IFS(OR('kuni 2025 detsember tegevuskava'!O40='kuni 2025 detsember tegevuskava'!$O$77,'kuni 2025 detsember tegevuskava'!O40='kuni 2025 detsember tegevuskava'!$O$79,'kuni 2025 detsember tegevuskava'!O40='kuni 2025 detsember tegevuskava'!$O$80,'kuni 2025 detsember tegevuskava'!O40='kuni 2025 detsember tegevuskava'!$O$81),1,'kuni 2025 detsember tegevuskava'!O40='kuni 2025 detsember tegevuskava'!$O$82,2,'kuni 2025 detsember tegevuskava'!O40='kuni 2025 detsember tegevuskava'!$O$83,2,'kuni 2025 detsember tegevuskava'!O40='kuni 2025 detsember tegevuskava'!$O$78,3)</f>
        <v>3</v>
      </c>
      <c r="I293" s="132">
        <f>SUM(I294:I296)</f>
        <v>2381472</v>
      </c>
      <c r="J293" s="133"/>
      <c r="K293" s="81">
        <f>SUM(K294:K296)</f>
        <v>670397</v>
      </c>
      <c r="L293" s="83"/>
      <c r="M293" s="132">
        <f>SUM(M294:M296)</f>
        <v>841236</v>
      </c>
      <c r="N293" s="133"/>
      <c r="O293" s="81">
        <f>SUM(O294:O296)</f>
        <v>869839</v>
      </c>
      <c r="P293" s="85"/>
    </row>
    <row r="294" spans="2:16" ht="16.5" x14ac:dyDescent="0.35">
      <c r="B294" s="145"/>
      <c r="C294" s="8"/>
      <c r="D294" s="8"/>
      <c r="E294" s="8"/>
      <c r="F294" s="8"/>
      <c r="G294" s="8"/>
      <c r="H294" s="192"/>
      <c r="I294" s="102">
        <f>SUM(K294+M294+O294)</f>
        <v>1755159</v>
      </c>
      <c r="J294" s="103" t="str">
        <f>"(15)"</f>
        <v>(15)</v>
      </c>
      <c r="K294" s="97">
        <f>'kuni 2025 detsember tegevuskava'!W40</f>
        <v>520000</v>
      </c>
      <c r="L294" s="98" t="str">
        <f>"(15)"</f>
        <v>(15)</v>
      </c>
      <c r="M294" s="102">
        <f>'kuni 2025 detsember tegevuskava'!Z40</f>
        <v>609082</v>
      </c>
      <c r="N294" s="103" t="str">
        <f>"(15)"</f>
        <v>(15)</v>
      </c>
      <c r="O294" s="97">
        <f>'kuni 2025 detsember tegevuskava'!AC40</f>
        <v>626077</v>
      </c>
      <c r="P294" s="87" t="str">
        <f>"(15)"</f>
        <v>(15)</v>
      </c>
    </row>
    <row r="295" spans="2:16" ht="16.5" x14ac:dyDescent="0.35">
      <c r="B295" s="145"/>
      <c r="C295" s="8"/>
      <c r="D295" s="8"/>
      <c r="E295" s="8"/>
      <c r="F295" s="8"/>
      <c r="G295" s="8"/>
      <c r="H295" s="192"/>
      <c r="I295" s="102">
        <f>SUM(K295+M295+O295)</f>
        <v>544620</v>
      </c>
      <c r="J295" s="103" t="str">
        <f>"(50)"</f>
        <v>(50)</v>
      </c>
      <c r="K295" s="97">
        <f>'kuni 2025 detsember tegevuskava'!X40</f>
        <v>130780</v>
      </c>
      <c r="L295" s="98" t="str">
        <f>"(50)"</f>
        <v>(50)</v>
      </c>
      <c r="M295" s="102">
        <f>'kuni 2025 detsember tegevuskava'!AA40</f>
        <v>201873</v>
      </c>
      <c r="N295" s="103" t="str">
        <f>"(50)"</f>
        <v>(50)</v>
      </c>
      <c r="O295" s="97">
        <f>'kuni 2025 detsember tegevuskava'!AD40</f>
        <v>211967</v>
      </c>
      <c r="P295" s="87" t="str">
        <f>"(50)"</f>
        <v>(50)</v>
      </c>
    </row>
    <row r="296" spans="2:16" ht="16.5" x14ac:dyDescent="0.35">
      <c r="B296" s="145"/>
      <c r="C296" s="8"/>
      <c r="D296" s="8"/>
      <c r="E296" s="8"/>
      <c r="F296" s="8"/>
      <c r="G296" s="8"/>
      <c r="H296" s="192"/>
      <c r="I296" s="104">
        <f>SUM(K296+M296+O296)</f>
        <v>81693</v>
      </c>
      <c r="J296" s="105" t="str">
        <f>"(55)"</f>
        <v>(55)</v>
      </c>
      <c r="K296" s="99">
        <f>'kuni 2025 detsember tegevuskava'!Y40</f>
        <v>19617</v>
      </c>
      <c r="L296" s="88" t="str">
        <f>"(55)"</f>
        <v>(55)</v>
      </c>
      <c r="M296" s="104">
        <f>'kuni 2025 detsember tegevuskava'!AB40</f>
        <v>30281</v>
      </c>
      <c r="N296" s="105" t="str">
        <f>"(55)"</f>
        <v>(55)</v>
      </c>
      <c r="O296" s="99">
        <f>'kuni 2025 detsember tegevuskava'!AE40</f>
        <v>31795</v>
      </c>
      <c r="P296" s="90" t="str">
        <f>"(55)"</f>
        <v>(55)</v>
      </c>
    </row>
    <row r="297" spans="2:16" ht="16.5" x14ac:dyDescent="0.35">
      <c r="B297" s="145"/>
      <c r="C297" s="8"/>
      <c r="D297" s="8"/>
      <c r="E297" s="8"/>
      <c r="F297" s="8"/>
      <c r="G297" s="8"/>
      <c r="H297" s="192"/>
      <c r="I297" s="151" t="s">
        <v>553</v>
      </c>
      <c r="J297" s="8"/>
      <c r="K297" s="8"/>
      <c r="L297" s="8"/>
      <c r="M297" s="8"/>
      <c r="N297" s="8"/>
      <c r="O297" s="8"/>
      <c r="P297" s="159"/>
    </row>
    <row r="298" spans="2:16" ht="16.5" x14ac:dyDescent="0.35">
      <c r="B298" s="145"/>
      <c r="C298" s="8"/>
      <c r="D298" s="8"/>
      <c r="E298" s="8"/>
      <c r="F298" s="8"/>
      <c r="G298" s="8"/>
      <c r="H298" s="192"/>
      <c r="I298" s="100">
        <f>SUM(I299:I301)</f>
        <v>2774787.1</v>
      </c>
      <c r="J298" s="101"/>
      <c r="K298" s="91">
        <f>SUM(K299:K301)</f>
        <v>778320.4</v>
      </c>
      <c r="L298" s="92"/>
      <c r="M298" s="100">
        <f>SUM(M299:M301)</f>
        <v>981895.86</v>
      </c>
      <c r="N298" s="106"/>
      <c r="O298" s="100">
        <f>SUM(O299:O301)</f>
        <v>1014570.84</v>
      </c>
      <c r="P298" s="134"/>
    </row>
    <row r="299" spans="2:16" ht="16.5" x14ac:dyDescent="0.35">
      <c r="B299" s="145"/>
      <c r="C299" s="8"/>
      <c r="D299" s="8"/>
      <c r="E299" s="8"/>
      <c r="F299" s="8"/>
      <c r="G299" s="8"/>
      <c r="H299" s="192"/>
      <c r="I299" s="102">
        <f>SUM(K299+M299+O299)</f>
        <v>2130893.98</v>
      </c>
      <c r="J299" s="103" t="str">
        <f>"(15)"</f>
        <v>(15)</v>
      </c>
      <c r="K299" s="97">
        <f>SUM(K294*1.2)</f>
        <v>624000</v>
      </c>
      <c r="L299" s="98" t="str">
        <f>"(15)"</f>
        <v>(15)</v>
      </c>
      <c r="M299" s="102">
        <f>SUM(M294*1.22)</f>
        <v>743080.04</v>
      </c>
      <c r="N299" s="103" t="str">
        <f>"(15)"</f>
        <v>(15)</v>
      </c>
      <c r="O299" s="102">
        <f>SUM(O294*1.22)</f>
        <v>763813.94</v>
      </c>
      <c r="P299" s="87" t="str">
        <f>"(15)"</f>
        <v>(15)</v>
      </c>
    </row>
    <row r="300" spans="2:16" ht="16.5" x14ac:dyDescent="0.35">
      <c r="B300" s="145"/>
      <c r="C300" s="8"/>
      <c r="D300" s="8"/>
      <c r="E300" s="8"/>
      <c r="F300" s="8"/>
      <c r="G300" s="8"/>
      <c r="H300" s="192"/>
      <c r="I300" s="102">
        <f>SUM(K300+M300+O300)</f>
        <v>544620</v>
      </c>
      <c r="J300" s="103" t="str">
        <f>"(50)"</f>
        <v>(50)</v>
      </c>
      <c r="K300" s="97">
        <f>K295</f>
        <v>130780</v>
      </c>
      <c r="L300" s="98" t="str">
        <f>"(50)"</f>
        <v>(50)</v>
      </c>
      <c r="M300" s="102">
        <f>M295</f>
        <v>201873</v>
      </c>
      <c r="N300" s="103" t="str">
        <f>"(50)"</f>
        <v>(50)</v>
      </c>
      <c r="O300" s="102">
        <f>O295</f>
        <v>211967</v>
      </c>
      <c r="P300" s="87" t="str">
        <f>"(50)"</f>
        <v>(50)</v>
      </c>
    </row>
    <row r="301" spans="2:16" ht="17" thickBot="1" x14ac:dyDescent="0.4">
      <c r="B301" s="160"/>
      <c r="C301" s="161"/>
      <c r="D301" s="161"/>
      <c r="E301" s="161"/>
      <c r="F301" s="161"/>
      <c r="G301" s="161"/>
      <c r="H301" s="193"/>
      <c r="I301" s="130">
        <f>SUM(K301+M301+O301)</f>
        <v>99273.12</v>
      </c>
      <c r="J301" s="131" t="str">
        <f>"(55)"</f>
        <v>(55)</v>
      </c>
      <c r="K301" s="93">
        <f>SUM(K296*1.2)</f>
        <v>23540.399999999998</v>
      </c>
      <c r="L301" s="94" t="str">
        <f>"(55)"</f>
        <v>(55)</v>
      </c>
      <c r="M301" s="130">
        <f>SUM(M296*1.22)</f>
        <v>36942.82</v>
      </c>
      <c r="N301" s="131" t="str">
        <f>"(55)"</f>
        <v>(55)</v>
      </c>
      <c r="O301" s="130">
        <f>SUM(O296*1.22)</f>
        <v>38789.9</v>
      </c>
      <c r="P301" s="96" t="str">
        <f>"(55)"</f>
        <v>(55)</v>
      </c>
    </row>
    <row r="302" spans="2:16" ht="16.5" x14ac:dyDescent="0.35">
      <c r="B302" s="187" t="str">
        <f>'kuni 2025 detsember tegevuskava'!A41&amp;"/"&amp;'kuni 2025 detsember tegevuskava'!C41</f>
        <v>Sotsiaalministeerium/</v>
      </c>
      <c r="C302" s="156">
        <f>'kuni 2025 detsember tegevuskava'!I41</f>
        <v>0</v>
      </c>
      <c r="D302" s="156" t="str">
        <f>'kuni 2025 detsember tegevuskava'!J41</f>
        <v>Sotsiaalkaitsesüsteemide ajakohastamist toetavate infosüsteemide arendused</v>
      </c>
      <c r="E302" s="156">
        <f>'kuni 2025 detsember tegevuskava'!K41</f>
        <v>0</v>
      </c>
      <c r="F302" s="156" t="str">
        <f>'kuni 2025 detsember tegevuskava'!O41&amp;"/"</f>
        <v>Muu rahastus/</v>
      </c>
      <c r="G302" s="156" cm="1">
        <f t="array" ref="G302">_xlfn.IFS('kuni 2025 detsember tegevuskava'!G41='kuni 2025 detsember tegevuskava'!$G$77,1,'kuni 2025 detsember tegevuskava'!G41='kuni 2025 detsember tegevuskava'!$G$78,2,'kuni 2025 detsember tegevuskava'!G41='kuni 2025 detsember tegevuskava'!$G$79,3,'kuni 2025 detsember tegevuskava'!G41='kuni 2025 detsember tegevuskava'!$G$80,4)</f>
        <v>4</v>
      </c>
      <c r="H302" s="194" cm="1">
        <f t="array" ref="H302">_xlfn.IFS(OR('kuni 2025 detsember tegevuskava'!O41='kuni 2025 detsember tegevuskava'!$O$77,'kuni 2025 detsember tegevuskava'!O41='kuni 2025 detsember tegevuskava'!$O$79,'kuni 2025 detsember tegevuskava'!O41='kuni 2025 detsember tegevuskava'!$O$80,'kuni 2025 detsember tegevuskava'!O41='kuni 2025 detsember tegevuskava'!$O$81),1,'kuni 2025 detsember tegevuskava'!O41='kuni 2025 detsember tegevuskava'!$O$82,2,'kuni 2025 detsember tegevuskava'!O41='kuni 2025 detsember tegevuskava'!$O$83,2,'kuni 2025 detsember tegevuskava'!O41='kuni 2025 detsember tegevuskava'!$O$78,3)</f>
        <v>3</v>
      </c>
      <c r="I302" s="132">
        <f>SUM(I303:I305)</f>
        <v>5376757</v>
      </c>
      <c r="J302" s="133"/>
      <c r="K302" s="81">
        <f>SUM(K303:K305)</f>
        <v>1345470</v>
      </c>
      <c r="L302" s="83"/>
      <c r="M302" s="132">
        <f>SUM(M303:M305)</f>
        <v>2015643.5</v>
      </c>
      <c r="N302" s="133"/>
      <c r="O302" s="81">
        <f>SUM(O303:O305)</f>
        <v>2015643.5</v>
      </c>
      <c r="P302" s="85"/>
    </row>
    <row r="303" spans="2:16" ht="16.5" x14ac:dyDescent="0.35">
      <c r="B303" s="145"/>
      <c r="C303" s="8"/>
      <c r="D303" s="8"/>
      <c r="E303" s="8"/>
      <c r="F303" s="8"/>
      <c r="G303" s="8"/>
      <c r="H303" s="192"/>
      <c r="I303" s="102">
        <f>SUM(K303+M303+O303)</f>
        <v>4214682</v>
      </c>
      <c r="J303" s="103" t="str">
        <f>"(15)"</f>
        <v>(15)</v>
      </c>
      <c r="K303" s="97">
        <f>'kuni 2025 detsember tegevuskava'!W41</f>
        <v>1020000</v>
      </c>
      <c r="L303" s="98" t="str">
        <f>"(15)"</f>
        <v>(15)</v>
      </c>
      <c r="M303" s="102">
        <f>'kuni 2025 detsember tegevuskava'!Z41</f>
        <v>1597341</v>
      </c>
      <c r="N303" s="103" t="str">
        <f>"(15)"</f>
        <v>(15)</v>
      </c>
      <c r="O303" s="97">
        <f>'kuni 2025 detsember tegevuskava'!AC41</f>
        <v>1597341</v>
      </c>
      <c r="P303" s="87" t="str">
        <f>"(15)"</f>
        <v>(15)</v>
      </c>
    </row>
    <row r="304" spans="2:16" ht="16.5" x14ac:dyDescent="0.35">
      <c r="B304" s="145"/>
      <c r="C304" s="8"/>
      <c r="D304" s="8"/>
      <c r="E304" s="8"/>
      <c r="F304" s="8"/>
      <c r="G304" s="8"/>
      <c r="H304" s="192"/>
      <c r="I304" s="102">
        <f>SUM(K304+M304+O304)</f>
        <v>996935</v>
      </c>
      <c r="J304" s="103" t="str">
        <f>"(50)"</f>
        <v>(50)</v>
      </c>
      <c r="K304" s="97">
        <f>'kuni 2025 detsember tegevuskava'!X41</f>
        <v>281570</v>
      </c>
      <c r="L304" s="98" t="str">
        <f>"(50)"</f>
        <v>(50)</v>
      </c>
      <c r="M304" s="102">
        <f>'kuni 2025 detsember tegevuskava'!AA41</f>
        <v>357682.5</v>
      </c>
      <c r="N304" s="103" t="str">
        <f>"(50)"</f>
        <v>(50)</v>
      </c>
      <c r="O304" s="97">
        <f>'kuni 2025 detsember tegevuskava'!AD41</f>
        <v>357682.5</v>
      </c>
      <c r="P304" s="87" t="str">
        <f>"(50)"</f>
        <v>(50)</v>
      </c>
    </row>
    <row r="305" spans="2:16" ht="16.5" x14ac:dyDescent="0.35">
      <c r="B305" s="145"/>
      <c r="C305" s="8"/>
      <c r="D305" s="8"/>
      <c r="E305" s="8"/>
      <c r="F305" s="8"/>
      <c r="G305" s="8"/>
      <c r="H305" s="192"/>
      <c r="I305" s="104">
        <f>SUM(K305+M305+O305)</f>
        <v>165140</v>
      </c>
      <c r="J305" s="105" t="str">
        <f>"(55)"</f>
        <v>(55)</v>
      </c>
      <c r="K305" s="99">
        <f>'kuni 2025 detsember tegevuskava'!Y41</f>
        <v>43900</v>
      </c>
      <c r="L305" s="88" t="str">
        <f>"(55)"</f>
        <v>(55)</v>
      </c>
      <c r="M305" s="104">
        <f>'kuni 2025 detsember tegevuskava'!AB41</f>
        <v>60620</v>
      </c>
      <c r="N305" s="105" t="str">
        <f>"(55)"</f>
        <v>(55)</v>
      </c>
      <c r="O305" s="99">
        <f>'kuni 2025 detsember tegevuskava'!AE41</f>
        <v>60620</v>
      </c>
      <c r="P305" s="90" t="str">
        <f>"(55)"</f>
        <v>(55)</v>
      </c>
    </row>
    <row r="306" spans="2:16" ht="16.5" x14ac:dyDescent="0.35">
      <c r="B306" s="145"/>
      <c r="C306" s="8"/>
      <c r="D306" s="8"/>
      <c r="E306" s="8"/>
      <c r="F306" s="8"/>
      <c r="G306" s="8"/>
      <c r="H306" s="192"/>
      <c r="I306" s="151" t="s">
        <v>553</v>
      </c>
      <c r="J306" s="8"/>
      <c r="K306" s="8"/>
      <c r="L306" s="8"/>
      <c r="M306" s="8"/>
      <c r="N306" s="8"/>
      <c r="O306" s="8"/>
      <c r="P306" s="159"/>
    </row>
    <row r="307" spans="2:16" ht="16.5" x14ac:dyDescent="0.35">
      <c r="B307" s="145"/>
      <c r="C307" s="8"/>
      <c r="D307" s="8"/>
      <c r="E307" s="8"/>
      <c r="F307" s="8"/>
      <c r="G307" s="8"/>
      <c r="H307" s="192"/>
      <c r="I307" s="100">
        <f>SUM(I308:I310)</f>
        <v>6319039.8399999999</v>
      </c>
      <c r="J307" s="101"/>
      <c r="K307" s="91">
        <f>SUM(K308:K310)</f>
        <v>1558250</v>
      </c>
      <c r="L307" s="92"/>
      <c r="M307" s="100">
        <f>SUM(M308:M310)</f>
        <v>2380394.92</v>
      </c>
      <c r="N307" s="106"/>
      <c r="O307" s="100">
        <f>SUM(O308:O310)</f>
        <v>2380394.92</v>
      </c>
      <c r="P307" s="134"/>
    </row>
    <row r="308" spans="2:16" ht="16.5" x14ac:dyDescent="0.35">
      <c r="B308" s="145"/>
      <c r="C308" s="8"/>
      <c r="D308" s="8"/>
      <c r="E308" s="8"/>
      <c r="F308" s="8"/>
      <c r="G308" s="8"/>
      <c r="H308" s="192"/>
      <c r="I308" s="102">
        <f>SUM(K308+M308+O308)</f>
        <v>5121512.04</v>
      </c>
      <c r="J308" s="103" t="str">
        <f>"(15)"</f>
        <v>(15)</v>
      </c>
      <c r="K308" s="97">
        <f>SUM(K303*1.2)</f>
        <v>1224000</v>
      </c>
      <c r="L308" s="98" t="str">
        <f>"(15)"</f>
        <v>(15)</v>
      </c>
      <c r="M308" s="102">
        <f>SUM(M303*1.22)</f>
        <v>1948756.02</v>
      </c>
      <c r="N308" s="103" t="str">
        <f>"(15)"</f>
        <v>(15)</v>
      </c>
      <c r="O308" s="102">
        <f>SUM(O303*1.22)</f>
        <v>1948756.02</v>
      </c>
      <c r="P308" s="87" t="str">
        <f>"(15)"</f>
        <v>(15)</v>
      </c>
    </row>
    <row r="309" spans="2:16" ht="16.5" x14ac:dyDescent="0.35">
      <c r="B309" s="145"/>
      <c r="C309" s="8"/>
      <c r="D309" s="8"/>
      <c r="E309" s="8"/>
      <c r="F309" s="8"/>
      <c r="G309" s="8"/>
      <c r="H309" s="192"/>
      <c r="I309" s="102">
        <f>SUM(K309+M309+O309)</f>
        <v>996935</v>
      </c>
      <c r="J309" s="103" t="str">
        <f>"(50)"</f>
        <v>(50)</v>
      </c>
      <c r="K309" s="97">
        <f>K304</f>
        <v>281570</v>
      </c>
      <c r="L309" s="98" t="str">
        <f>"(50)"</f>
        <v>(50)</v>
      </c>
      <c r="M309" s="102">
        <f>M304</f>
        <v>357682.5</v>
      </c>
      <c r="N309" s="103" t="str">
        <f>"(50)"</f>
        <v>(50)</v>
      </c>
      <c r="O309" s="102">
        <f>O304</f>
        <v>357682.5</v>
      </c>
      <c r="P309" s="87" t="str">
        <f>"(50)"</f>
        <v>(50)</v>
      </c>
    </row>
    <row r="310" spans="2:16" ht="17" thickBot="1" x14ac:dyDescent="0.4">
      <c r="B310" s="160"/>
      <c r="C310" s="161"/>
      <c r="D310" s="161"/>
      <c r="E310" s="161"/>
      <c r="F310" s="161"/>
      <c r="G310" s="161"/>
      <c r="H310" s="193"/>
      <c r="I310" s="130">
        <f>SUM(K310+M310+O310)</f>
        <v>200592.8</v>
      </c>
      <c r="J310" s="131" t="str">
        <f>"(55)"</f>
        <v>(55)</v>
      </c>
      <c r="K310" s="93">
        <f>SUM(K305*1.2)</f>
        <v>52680</v>
      </c>
      <c r="L310" s="94" t="str">
        <f>"(55)"</f>
        <v>(55)</v>
      </c>
      <c r="M310" s="130">
        <f>SUM(M305*1.22)</f>
        <v>73956.399999999994</v>
      </c>
      <c r="N310" s="131" t="str">
        <f>"(55)"</f>
        <v>(55)</v>
      </c>
      <c r="O310" s="130">
        <f>SUM(O305*1.22)</f>
        <v>73956.399999999994</v>
      </c>
      <c r="P310" s="96" t="str">
        <f>"(55)"</f>
        <v>(55)</v>
      </c>
    </row>
    <row r="311" spans="2:16" ht="16.5" x14ac:dyDescent="0.35">
      <c r="B311" s="187" t="e">
        <f>'kuni 2025 detsember tegevuskava'!#REF!&amp;"/"&amp;'kuni 2025 detsember tegevuskava'!#REF!</f>
        <v>#REF!</v>
      </c>
      <c r="C311" s="156" t="e">
        <f>'kuni 2025 detsember tegevuskava'!#REF!</f>
        <v>#REF!</v>
      </c>
      <c r="D311" s="156" t="e">
        <f>'kuni 2025 detsember tegevuskava'!#REF!</f>
        <v>#REF!</v>
      </c>
      <c r="E311" s="156" t="e">
        <f>'kuni 2025 detsember tegevuskava'!#REF!</f>
        <v>#REF!</v>
      </c>
      <c r="F311" s="156" t="e">
        <f>'kuni 2025 detsember tegevuskava'!#REF!&amp;"/"</f>
        <v>#REF!</v>
      </c>
      <c r="G311" s="156" t="e" cm="1">
        <f t="array" ref="G311">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311" s="194" t="e" cm="1">
        <f t="array" ref="H311">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311" s="132" t="e">
        <f>SUM(I312:I314)</f>
        <v>#REF!</v>
      </c>
      <c r="J311" s="133"/>
      <c r="K311" s="81" t="e">
        <f>SUM(K312:K314)</f>
        <v>#REF!</v>
      </c>
      <c r="L311" s="83"/>
      <c r="M311" s="132" t="e">
        <f>SUM(M312:M314)</f>
        <v>#REF!</v>
      </c>
      <c r="N311" s="133"/>
      <c r="O311" s="81" t="e">
        <f>SUM(O312:O314)</f>
        <v>#REF!</v>
      </c>
      <c r="P311" s="85"/>
    </row>
    <row r="312" spans="2:16" ht="16.5" x14ac:dyDescent="0.35">
      <c r="B312" s="145"/>
      <c r="C312" s="8"/>
      <c r="D312" s="8"/>
      <c r="E312" s="8"/>
      <c r="F312" s="8"/>
      <c r="G312" s="8"/>
      <c r="H312" s="192"/>
      <c r="I312" s="102" t="e">
        <f>SUM(K312+M312+O312)</f>
        <v>#REF!</v>
      </c>
      <c r="J312" s="103" t="str">
        <f>"(15)"</f>
        <v>(15)</v>
      </c>
      <c r="K312" s="97" t="e">
        <f>'kuni 2025 detsember tegevuskava'!#REF!</f>
        <v>#REF!</v>
      </c>
      <c r="L312" s="98" t="str">
        <f>"(15)"</f>
        <v>(15)</v>
      </c>
      <c r="M312" s="102" t="e">
        <f>'kuni 2025 detsember tegevuskava'!#REF!</f>
        <v>#REF!</v>
      </c>
      <c r="N312" s="103" t="str">
        <f>"(15)"</f>
        <v>(15)</v>
      </c>
      <c r="O312" s="97" t="e">
        <f>'kuni 2025 detsember tegevuskava'!#REF!</f>
        <v>#REF!</v>
      </c>
      <c r="P312" s="87" t="str">
        <f>"(15)"</f>
        <v>(15)</v>
      </c>
    </row>
    <row r="313" spans="2:16" ht="16.5" x14ac:dyDescent="0.35">
      <c r="B313" s="145"/>
      <c r="C313" s="8"/>
      <c r="D313" s="8"/>
      <c r="E313" s="8"/>
      <c r="F313" s="8"/>
      <c r="G313" s="8"/>
      <c r="H313" s="192"/>
      <c r="I313" s="102" t="e">
        <f>SUM(K313+M313+O313)</f>
        <v>#REF!</v>
      </c>
      <c r="J313" s="103" t="str">
        <f>"(50)"</f>
        <v>(50)</v>
      </c>
      <c r="K313" s="97" t="e">
        <f>'kuni 2025 detsember tegevuskava'!#REF!</f>
        <v>#REF!</v>
      </c>
      <c r="L313" s="98" t="str">
        <f>"(50)"</f>
        <v>(50)</v>
      </c>
      <c r="M313" s="102" t="e">
        <f>'kuni 2025 detsember tegevuskava'!#REF!</f>
        <v>#REF!</v>
      </c>
      <c r="N313" s="103" t="str">
        <f>"(50)"</f>
        <v>(50)</v>
      </c>
      <c r="O313" s="97" t="e">
        <f>'kuni 2025 detsember tegevuskava'!#REF!</f>
        <v>#REF!</v>
      </c>
      <c r="P313" s="87" t="str">
        <f>"(50)"</f>
        <v>(50)</v>
      </c>
    </row>
    <row r="314" spans="2:16" ht="16.5" x14ac:dyDescent="0.35">
      <c r="B314" s="145"/>
      <c r="C314" s="8"/>
      <c r="D314" s="8"/>
      <c r="E314" s="8"/>
      <c r="F314" s="8"/>
      <c r="G314" s="8"/>
      <c r="H314" s="192"/>
      <c r="I314" s="104" t="e">
        <f>SUM(K314+M314+O314)</f>
        <v>#REF!</v>
      </c>
      <c r="J314" s="105" t="str">
        <f>"(55)"</f>
        <v>(55)</v>
      </c>
      <c r="K314" s="99" t="e">
        <f>'kuni 2025 detsember tegevuskava'!#REF!</f>
        <v>#REF!</v>
      </c>
      <c r="L314" s="88" t="str">
        <f>"(55)"</f>
        <v>(55)</v>
      </c>
      <c r="M314" s="104" t="e">
        <f>'kuni 2025 detsember tegevuskava'!#REF!</f>
        <v>#REF!</v>
      </c>
      <c r="N314" s="105" t="str">
        <f>"(55)"</f>
        <v>(55)</v>
      </c>
      <c r="O314" s="99" t="e">
        <f>'kuni 2025 detsember tegevuskava'!#REF!</f>
        <v>#REF!</v>
      </c>
      <c r="P314" s="90" t="str">
        <f>"(55)"</f>
        <v>(55)</v>
      </c>
    </row>
    <row r="315" spans="2:16" ht="16.5" x14ac:dyDescent="0.35">
      <c r="B315" s="145"/>
      <c r="C315" s="8"/>
      <c r="D315" s="8"/>
      <c r="E315" s="8"/>
      <c r="F315" s="8"/>
      <c r="G315" s="8"/>
      <c r="H315" s="192"/>
      <c r="I315" s="151" t="s">
        <v>553</v>
      </c>
      <c r="J315" s="8"/>
      <c r="K315" s="8"/>
      <c r="L315" s="8"/>
      <c r="M315" s="8"/>
      <c r="N315" s="8"/>
      <c r="O315" s="8"/>
      <c r="P315" s="159"/>
    </row>
    <row r="316" spans="2:16" ht="16.5" x14ac:dyDescent="0.35">
      <c r="B316" s="145"/>
      <c r="C316" s="8"/>
      <c r="D316" s="8"/>
      <c r="E316" s="8"/>
      <c r="F316" s="8"/>
      <c r="G316" s="8"/>
      <c r="H316" s="192"/>
      <c r="I316" s="100" t="e">
        <f>SUM(I317:I319)</f>
        <v>#REF!</v>
      </c>
      <c r="J316" s="101"/>
      <c r="K316" s="91" t="e">
        <f>SUM(K317:K319)</f>
        <v>#REF!</v>
      </c>
      <c r="L316" s="92"/>
      <c r="M316" s="100" t="e">
        <f>SUM(M317:M319)</f>
        <v>#REF!</v>
      </c>
      <c r="N316" s="106"/>
      <c r="O316" s="100" t="e">
        <f>SUM(O317:O319)</f>
        <v>#REF!</v>
      </c>
      <c r="P316" s="134"/>
    </row>
    <row r="317" spans="2:16" ht="16.5" x14ac:dyDescent="0.35">
      <c r="B317" s="145"/>
      <c r="C317" s="8"/>
      <c r="D317" s="8"/>
      <c r="E317" s="8"/>
      <c r="F317" s="8"/>
      <c r="G317" s="8"/>
      <c r="H317" s="192"/>
      <c r="I317" s="102" t="e">
        <f>SUM(K317+M317+O317)</f>
        <v>#REF!</v>
      </c>
      <c r="J317" s="103" t="str">
        <f>"(15)"</f>
        <v>(15)</v>
      </c>
      <c r="K317" s="97" t="e">
        <f>SUM(K312*1.2)</f>
        <v>#REF!</v>
      </c>
      <c r="L317" s="98" t="str">
        <f>"(15)"</f>
        <v>(15)</v>
      </c>
      <c r="M317" s="102" t="e">
        <f>SUM(M312*1.22)</f>
        <v>#REF!</v>
      </c>
      <c r="N317" s="103" t="str">
        <f>"(15)"</f>
        <v>(15)</v>
      </c>
      <c r="O317" s="102" t="e">
        <f>SUM(O312*1.22)</f>
        <v>#REF!</v>
      </c>
      <c r="P317" s="87" t="str">
        <f>"(15)"</f>
        <v>(15)</v>
      </c>
    </row>
    <row r="318" spans="2:16" ht="16.5" x14ac:dyDescent="0.35">
      <c r="B318" s="145"/>
      <c r="C318" s="8"/>
      <c r="D318" s="8"/>
      <c r="E318" s="8"/>
      <c r="F318" s="8"/>
      <c r="G318" s="8"/>
      <c r="H318" s="192"/>
      <c r="I318" s="102" t="e">
        <f>SUM(K318+M318+O318)</f>
        <v>#REF!</v>
      </c>
      <c r="J318" s="103" t="str">
        <f>"(50)"</f>
        <v>(50)</v>
      </c>
      <c r="K318" s="97" t="e">
        <f>K313</f>
        <v>#REF!</v>
      </c>
      <c r="L318" s="98" t="str">
        <f>"(50)"</f>
        <v>(50)</v>
      </c>
      <c r="M318" s="102" t="e">
        <f>M313</f>
        <v>#REF!</v>
      </c>
      <c r="N318" s="103" t="str">
        <f>"(50)"</f>
        <v>(50)</v>
      </c>
      <c r="O318" s="102" t="e">
        <f>O313</f>
        <v>#REF!</v>
      </c>
      <c r="P318" s="87" t="str">
        <f>"(50)"</f>
        <v>(50)</v>
      </c>
    </row>
    <row r="319" spans="2:16" ht="17" thickBot="1" x14ac:dyDescent="0.4">
      <c r="B319" s="160"/>
      <c r="C319" s="161"/>
      <c r="D319" s="161"/>
      <c r="E319" s="161"/>
      <c r="F319" s="161"/>
      <c r="G319" s="161"/>
      <c r="H319" s="193"/>
      <c r="I319" s="130" t="e">
        <f>SUM(K319+M319+O319)</f>
        <v>#REF!</v>
      </c>
      <c r="J319" s="131" t="str">
        <f>"(55)"</f>
        <v>(55)</v>
      </c>
      <c r="K319" s="93" t="e">
        <f>SUM(K314*1.2)</f>
        <v>#REF!</v>
      </c>
      <c r="L319" s="94" t="str">
        <f>"(55)"</f>
        <v>(55)</v>
      </c>
      <c r="M319" s="130" t="e">
        <f>SUM(M314*1.22)</f>
        <v>#REF!</v>
      </c>
      <c r="N319" s="131" t="str">
        <f>"(55)"</f>
        <v>(55)</v>
      </c>
      <c r="O319" s="130" t="e">
        <f>SUM(O314*1.22)</f>
        <v>#REF!</v>
      </c>
      <c r="P319" s="96" t="str">
        <f>"(55)"</f>
        <v>(55)</v>
      </c>
    </row>
    <row r="320" spans="2:16" ht="16.5" x14ac:dyDescent="0.35">
      <c r="B320" s="187" t="str">
        <f>'kuni 2025 detsember tegevuskava'!A44&amp;"/"&amp;'kuni 2025 detsember tegevuskava'!C44</f>
        <v>TERVISE VALDKOND/</v>
      </c>
      <c r="C320" s="156">
        <f>'kuni 2025 detsember tegevuskava'!I44</f>
        <v>0</v>
      </c>
      <c r="D320" s="156">
        <f>'kuni 2025 detsember tegevuskava'!J44</f>
        <v>0</v>
      </c>
      <c r="E320" s="156">
        <f>'kuni 2025 detsember tegevuskava'!K44</f>
        <v>0</v>
      </c>
      <c r="F320" s="156" t="str">
        <f>'kuni 2025 detsember tegevuskava'!O44&amp;"/"</f>
        <v>/</v>
      </c>
      <c r="G320" s="156" t="e" cm="1">
        <f t="array" ref="G320">_xlfn.IFS('kuni 2025 detsember tegevuskava'!G44='kuni 2025 detsember tegevuskava'!$G$77,1,'kuni 2025 detsember tegevuskava'!G44='kuni 2025 detsember tegevuskava'!$G$78,2,'kuni 2025 detsember tegevuskava'!G44='kuni 2025 detsember tegevuskava'!$G$79,3,'kuni 2025 detsember tegevuskava'!G44='kuni 2025 detsember tegevuskava'!$G$80,4)</f>
        <v>#N/A</v>
      </c>
      <c r="H320" s="194" t="e" cm="1">
        <f t="array" ref="H320">_xlfn.IFS(OR('kuni 2025 detsember tegevuskava'!O44='kuni 2025 detsember tegevuskava'!$O$77,'kuni 2025 detsember tegevuskava'!O44='kuni 2025 detsember tegevuskava'!$O$79,'kuni 2025 detsember tegevuskava'!O44='kuni 2025 detsember tegevuskava'!$O$80,'kuni 2025 detsember tegevuskava'!O44='kuni 2025 detsember tegevuskava'!$O$81),1,'kuni 2025 detsember tegevuskava'!O44='kuni 2025 detsember tegevuskava'!$O$82,2,'kuni 2025 detsember tegevuskava'!O44='kuni 2025 detsember tegevuskava'!$O$83,2,'kuni 2025 detsember tegevuskava'!O44='kuni 2025 detsember tegevuskava'!$O$78,3)</f>
        <v>#N/A</v>
      </c>
      <c r="I320" s="132">
        <f>SUM(I321:I323)</f>
        <v>0</v>
      </c>
      <c r="J320" s="133"/>
      <c r="K320" s="81">
        <f>SUM(K321:K323)</f>
        <v>0</v>
      </c>
      <c r="L320" s="83"/>
      <c r="M320" s="132">
        <f>SUM(M321:M323)</f>
        <v>0</v>
      </c>
      <c r="N320" s="133"/>
      <c r="O320" s="81">
        <f>SUM(O321:O323)</f>
        <v>0</v>
      </c>
      <c r="P320" s="85"/>
    </row>
    <row r="321" spans="2:16" ht="16.5" x14ac:dyDescent="0.35">
      <c r="B321" s="145"/>
      <c r="C321" s="8"/>
      <c r="D321" s="8"/>
      <c r="E321" s="8"/>
      <c r="F321" s="8"/>
      <c r="G321" s="8"/>
      <c r="H321" s="192"/>
      <c r="I321" s="102">
        <f>SUM(K321+M321+O321)</f>
        <v>0</v>
      </c>
      <c r="J321" s="103" t="str">
        <f>"(15)"</f>
        <v>(15)</v>
      </c>
      <c r="K321" s="97">
        <f>'kuni 2025 detsember tegevuskava'!W44</f>
        <v>0</v>
      </c>
      <c r="L321" s="98" t="str">
        <f>"(15)"</f>
        <v>(15)</v>
      </c>
      <c r="M321" s="102">
        <f>'kuni 2025 detsember tegevuskava'!Z44</f>
        <v>0</v>
      </c>
      <c r="N321" s="103" t="str">
        <f>"(15)"</f>
        <v>(15)</v>
      </c>
      <c r="O321" s="97">
        <f>'kuni 2025 detsember tegevuskava'!AC44</f>
        <v>0</v>
      </c>
      <c r="P321" s="87" t="str">
        <f>"(15)"</f>
        <v>(15)</v>
      </c>
    </row>
    <row r="322" spans="2:16" ht="16.5" x14ac:dyDescent="0.35">
      <c r="B322" s="145"/>
      <c r="C322" s="8"/>
      <c r="D322" s="8"/>
      <c r="E322" s="8"/>
      <c r="F322" s="8"/>
      <c r="G322" s="8"/>
      <c r="H322" s="192"/>
      <c r="I322" s="102">
        <f>SUM(K322+M322+O322)</f>
        <v>0</v>
      </c>
      <c r="J322" s="103" t="str">
        <f>"(50)"</f>
        <v>(50)</v>
      </c>
      <c r="K322" s="97">
        <f>'kuni 2025 detsember tegevuskava'!X44</f>
        <v>0</v>
      </c>
      <c r="L322" s="98" t="str">
        <f>"(50)"</f>
        <v>(50)</v>
      </c>
      <c r="M322" s="102">
        <f>'kuni 2025 detsember tegevuskava'!AA44</f>
        <v>0</v>
      </c>
      <c r="N322" s="103" t="str">
        <f>"(50)"</f>
        <v>(50)</v>
      </c>
      <c r="O322" s="97">
        <f>'kuni 2025 detsember tegevuskava'!AD44</f>
        <v>0</v>
      </c>
      <c r="P322" s="87" t="str">
        <f>"(50)"</f>
        <v>(50)</v>
      </c>
    </row>
    <row r="323" spans="2:16" ht="16.5" x14ac:dyDescent="0.35">
      <c r="B323" s="145"/>
      <c r="C323" s="8"/>
      <c r="D323" s="8"/>
      <c r="E323" s="8"/>
      <c r="F323" s="8"/>
      <c r="G323" s="8"/>
      <c r="H323" s="192"/>
      <c r="I323" s="104">
        <f>SUM(K323+M323+O323)</f>
        <v>0</v>
      </c>
      <c r="J323" s="105" t="str">
        <f>"(55)"</f>
        <v>(55)</v>
      </c>
      <c r="K323" s="99">
        <f>'kuni 2025 detsember tegevuskava'!Y44</f>
        <v>0</v>
      </c>
      <c r="L323" s="88" t="str">
        <f>"(55)"</f>
        <v>(55)</v>
      </c>
      <c r="M323" s="104">
        <f>'kuni 2025 detsember tegevuskava'!AB44</f>
        <v>0</v>
      </c>
      <c r="N323" s="105" t="str">
        <f>"(55)"</f>
        <v>(55)</v>
      </c>
      <c r="O323" s="99">
        <f>'kuni 2025 detsember tegevuskava'!AE44</f>
        <v>0</v>
      </c>
      <c r="P323" s="90" t="str">
        <f>"(55)"</f>
        <v>(55)</v>
      </c>
    </row>
    <row r="324" spans="2:16" ht="16.5" x14ac:dyDescent="0.35">
      <c r="B324" s="145"/>
      <c r="C324" s="8"/>
      <c r="D324" s="8"/>
      <c r="E324" s="8"/>
      <c r="F324" s="8"/>
      <c r="G324" s="8"/>
      <c r="H324" s="192"/>
      <c r="I324" s="151" t="s">
        <v>553</v>
      </c>
      <c r="J324" s="8"/>
      <c r="K324" s="8"/>
      <c r="L324" s="8"/>
      <c r="M324" s="8"/>
      <c r="N324" s="8"/>
      <c r="O324" s="8"/>
      <c r="P324" s="159"/>
    </row>
    <row r="325" spans="2:16" ht="16.5" x14ac:dyDescent="0.35">
      <c r="B325" s="145"/>
      <c r="C325" s="8"/>
      <c r="D325" s="8"/>
      <c r="E325" s="8"/>
      <c r="F325" s="8"/>
      <c r="G325" s="8"/>
      <c r="H325" s="192"/>
      <c r="I325" s="100">
        <f>SUM(I326:I328)</f>
        <v>0</v>
      </c>
      <c r="J325" s="101"/>
      <c r="K325" s="91">
        <f>SUM(K326:K328)</f>
        <v>0</v>
      </c>
      <c r="L325" s="92"/>
      <c r="M325" s="100">
        <f>SUM(M326:M328)</f>
        <v>0</v>
      </c>
      <c r="N325" s="106"/>
      <c r="O325" s="100">
        <f>SUM(O326:O328)</f>
        <v>0</v>
      </c>
      <c r="P325" s="134"/>
    </row>
    <row r="326" spans="2:16" ht="16.5" x14ac:dyDescent="0.35">
      <c r="B326" s="145"/>
      <c r="C326" s="8"/>
      <c r="D326" s="8"/>
      <c r="E326" s="8"/>
      <c r="F326" s="8"/>
      <c r="G326" s="8"/>
      <c r="H326" s="192"/>
      <c r="I326" s="102">
        <f>SUM(K326+M326+O326)</f>
        <v>0</v>
      </c>
      <c r="J326" s="103" t="str">
        <f>"(15)"</f>
        <v>(15)</v>
      </c>
      <c r="K326" s="97">
        <f>SUM(K321*1.2)</f>
        <v>0</v>
      </c>
      <c r="L326" s="98" t="str">
        <f>"(15)"</f>
        <v>(15)</v>
      </c>
      <c r="M326" s="102">
        <f>SUM(M321*1.22)</f>
        <v>0</v>
      </c>
      <c r="N326" s="103" t="str">
        <f>"(15)"</f>
        <v>(15)</v>
      </c>
      <c r="O326" s="102">
        <f>SUM(O321*1.22)</f>
        <v>0</v>
      </c>
      <c r="P326" s="87" t="str">
        <f>"(15)"</f>
        <v>(15)</v>
      </c>
    </row>
    <row r="327" spans="2:16" ht="16.5" x14ac:dyDescent="0.35">
      <c r="B327" s="145"/>
      <c r="C327" s="8"/>
      <c r="D327" s="8"/>
      <c r="E327" s="8"/>
      <c r="F327" s="8"/>
      <c r="G327" s="8"/>
      <c r="H327" s="192"/>
      <c r="I327" s="102">
        <f>SUM(K327+M327+O327)</f>
        <v>0</v>
      </c>
      <c r="J327" s="103" t="str">
        <f>"(50)"</f>
        <v>(50)</v>
      </c>
      <c r="K327" s="97">
        <f>K322</f>
        <v>0</v>
      </c>
      <c r="L327" s="98" t="str">
        <f>"(50)"</f>
        <v>(50)</v>
      </c>
      <c r="M327" s="102">
        <f>M322</f>
        <v>0</v>
      </c>
      <c r="N327" s="103" t="str">
        <f>"(50)"</f>
        <v>(50)</v>
      </c>
      <c r="O327" s="102">
        <f>O322</f>
        <v>0</v>
      </c>
      <c r="P327" s="87" t="str">
        <f>"(50)"</f>
        <v>(50)</v>
      </c>
    </row>
    <row r="328" spans="2:16" ht="17" thickBot="1" x14ac:dyDescent="0.4">
      <c r="B328" s="160"/>
      <c r="C328" s="161"/>
      <c r="D328" s="161"/>
      <c r="E328" s="161"/>
      <c r="F328" s="161"/>
      <c r="G328" s="161"/>
      <c r="H328" s="193"/>
      <c r="I328" s="130">
        <f>SUM(K328+M328+O328)</f>
        <v>0</v>
      </c>
      <c r="J328" s="131" t="str">
        <f>"(55)"</f>
        <v>(55)</v>
      </c>
      <c r="K328" s="93">
        <f>SUM(K323*1.2)</f>
        <v>0</v>
      </c>
      <c r="L328" s="94" t="str">
        <f>"(55)"</f>
        <v>(55)</v>
      </c>
      <c r="M328" s="130">
        <f>SUM(M323*1.22)</f>
        <v>0</v>
      </c>
      <c r="N328" s="131" t="str">
        <f>"(55)"</f>
        <v>(55)</v>
      </c>
      <c r="O328" s="130">
        <f>SUM(O323*1.22)</f>
        <v>0</v>
      </c>
      <c r="P328" s="96" t="str">
        <f>"(55)"</f>
        <v>(55)</v>
      </c>
    </row>
    <row r="329" spans="2:16" ht="16.5" x14ac:dyDescent="0.35">
      <c r="B329" s="187" t="e">
        <f>'kuni 2025 detsember tegevuskava'!#REF!&amp;"/"&amp;'kuni 2025 detsember tegevuskava'!#REF!</f>
        <v>#REF!</v>
      </c>
      <c r="C329" s="156" t="e">
        <f>'kuni 2025 detsember tegevuskava'!#REF!</f>
        <v>#REF!</v>
      </c>
      <c r="D329" s="156" t="e">
        <f>'kuni 2025 detsember tegevuskava'!#REF!</f>
        <v>#REF!</v>
      </c>
      <c r="E329" s="156" t="e">
        <f>'kuni 2025 detsember tegevuskava'!#REF!</f>
        <v>#REF!</v>
      </c>
      <c r="F329" s="156" t="e">
        <f>'kuni 2025 detsember tegevuskava'!#REF!&amp;"/"</f>
        <v>#REF!</v>
      </c>
      <c r="G329" s="156" t="e" cm="1">
        <f t="array" ref="G329">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329" s="194" t="e" cm="1">
        <f t="array" ref="H329">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329" s="132" t="e">
        <f>SUM(I330:I332)</f>
        <v>#REF!</v>
      </c>
      <c r="J329" s="133"/>
      <c r="K329" s="81" t="e">
        <f>SUM(K330:K332)</f>
        <v>#REF!</v>
      </c>
      <c r="L329" s="83"/>
      <c r="M329" s="132" t="e">
        <f>SUM(M330:M332)</f>
        <v>#REF!</v>
      </c>
      <c r="N329" s="133"/>
      <c r="O329" s="81" t="e">
        <f>SUM(O330:O332)</f>
        <v>#REF!</v>
      </c>
      <c r="P329" s="85"/>
    </row>
    <row r="330" spans="2:16" ht="16.5" x14ac:dyDescent="0.35">
      <c r="B330" s="145"/>
      <c r="C330" s="8"/>
      <c r="D330" s="8"/>
      <c r="E330" s="8"/>
      <c r="F330" s="8"/>
      <c r="G330" s="8"/>
      <c r="H330" s="192"/>
      <c r="I330" s="102" t="e">
        <f>SUM(K330+M330+O330)</f>
        <v>#REF!</v>
      </c>
      <c r="J330" s="103" t="str">
        <f>"(15)"</f>
        <v>(15)</v>
      </c>
      <c r="K330" s="97" t="e">
        <f>'kuni 2025 detsember tegevuskava'!#REF!</f>
        <v>#REF!</v>
      </c>
      <c r="L330" s="98" t="str">
        <f>"(15)"</f>
        <v>(15)</v>
      </c>
      <c r="M330" s="102" t="e">
        <f>'kuni 2025 detsember tegevuskava'!#REF!</f>
        <v>#REF!</v>
      </c>
      <c r="N330" s="103" t="str">
        <f>"(15)"</f>
        <v>(15)</v>
      </c>
      <c r="O330" s="97" t="e">
        <f>'kuni 2025 detsember tegevuskava'!#REF!</f>
        <v>#REF!</v>
      </c>
      <c r="P330" s="87" t="str">
        <f>"(15)"</f>
        <v>(15)</v>
      </c>
    </row>
    <row r="331" spans="2:16" ht="16.5" x14ac:dyDescent="0.35">
      <c r="B331" s="145"/>
      <c r="C331" s="8"/>
      <c r="D331" s="8"/>
      <c r="E331" s="8"/>
      <c r="F331" s="8"/>
      <c r="G331" s="8"/>
      <c r="H331" s="192"/>
      <c r="I331" s="102" t="e">
        <f>SUM(K331+M331+O331)</f>
        <v>#REF!</v>
      </c>
      <c r="J331" s="103" t="str">
        <f>"(50)"</f>
        <v>(50)</v>
      </c>
      <c r="K331" s="97" t="e">
        <f>'kuni 2025 detsember tegevuskava'!#REF!</f>
        <v>#REF!</v>
      </c>
      <c r="L331" s="98" t="str">
        <f>"(50)"</f>
        <v>(50)</v>
      </c>
      <c r="M331" s="102" t="e">
        <f>'kuni 2025 detsember tegevuskava'!#REF!</f>
        <v>#REF!</v>
      </c>
      <c r="N331" s="103" t="str">
        <f>"(50)"</f>
        <v>(50)</v>
      </c>
      <c r="O331" s="97" t="e">
        <f>'kuni 2025 detsember tegevuskava'!#REF!</f>
        <v>#REF!</v>
      </c>
      <c r="P331" s="87" t="str">
        <f>"(50)"</f>
        <v>(50)</v>
      </c>
    </row>
    <row r="332" spans="2:16" ht="16.5" x14ac:dyDescent="0.35">
      <c r="B332" s="145"/>
      <c r="C332" s="8"/>
      <c r="D332" s="8"/>
      <c r="E332" s="8"/>
      <c r="F332" s="8"/>
      <c r="G332" s="8"/>
      <c r="H332" s="192"/>
      <c r="I332" s="104" t="e">
        <f>SUM(K332+M332+O332)</f>
        <v>#REF!</v>
      </c>
      <c r="J332" s="105" t="str">
        <f>"(55)"</f>
        <v>(55)</v>
      </c>
      <c r="K332" s="99" t="e">
        <f>'kuni 2025 detsember tegevuskava'!#REF!</f>
        <v>#REF!</v>
      </c>
      <c r="L332" s="88" t="str">
        <f>"(55)"</f>
        <v>(55)</v>
      </c>
      <c r="M332" s="104" t="e">
        <f>'kuni 2025 detsember tegevuskava'!#REF!</f>
        <v>#REF!</v>
      </c>
      <c r="N332" s="105" t="str">
        <f>"(55)"</f>
        <v>(55)</v>
      </c>
      <c r="O332" s="99" t="e">
        <f>'kuni 2025 detsember tegevuskava'!#REF!</f>
        <v>#REF!</v>
      </c>
      <c r="P332" s="90" t="str">
        <f>"(55)"</f>
        <v>(55)</v>
      </c>
    </row>
    <row r="333" spans="2:16" ht="16.5" x14ac:dyDescent="0.35">
      <c r="B333" s="145"/>
      <c r="C333" s="8"/>
      <c r="D333" s="8"/>
      <c r="E333" s="8"/>
      <c r="F333" s="8"/>
      <c r="G333" s="8"/>
      <c r="H333" s="192"/>
      <c r="I333" s="151" t="s">
        <v>553</v>
      </c>
      <c r="J333" s="8"/>
      <c r="K333" s="8"/>
      <c r="L333" s="8"/>
      <c r="M333" s="8"/>
      <c r="N333" s="8"/>
      <c r="O333" s="8"/>
      <c r="P333" s="159"/>
    </row>
    <row r="334" spans="2:16" ht="16.5" x14ac:dyDescent="0.35">
      <c r="B334" s="145"/>
      <c r="C334" s="8"/>
      <c r="D334" s="8"/>
      <c r="E334" s="8"/>
      <c r="F334" s="8"/>
      <c r="G334" s="8"/>
      <c r="H334" s="192"/>
      <c r="I334" s="100" t="e">
        <f>SUM(I335:I337)</f>
        <v>#REF!</v>
      </c>
      <c r="J334" s="101"/>
      <c r="K334" s="91" t="e">
        <f>SUM(K335:K337)</f>
        <v>#REF!</v>
      </c>
      <c r="L334" s="92"/>
      <c r="M334" s="100" t="e">
        <f>SUM(M335:M337)</f>
        <v>#REF!</v>
      </c>
      <c r="N334" s="106"/>
      <c r="O334" s="100" t="e">
        <f>SUM(O335:O337)</f>
        <v>#REF!</v>
      </c>
      <c r="P334" s="134"/>
    </row>
    <row r="335" spans="2:16" ht="16.5" x14ac:dyDescent="0.35">
      <c r="B335" s="145"/>
      <c r="C335" s="8"/>
      <c r="D335" s="8"/>
      <c r="E335" s="8"/>
      <c r="F335" s="8"/>
      <c r="G335" s="8"/>
      <c r="H335" s="192"/>
      <c r="I335" s="102" t="e">
        <f>SUM(K335+M335+O335)</f>
        <v>#REF!</v>
      </c>
      <c r="J335" s="103" t="str">
        <f>"(15)"</f>
        <v>(15)</v>
      </c>
      <c r="K335" s="97" t="e">
        <f>SUM(K330*1.2)</f>
        <v>#REF!</v>
      </c>
      <c r="L335" s="98" t="str">
        <f>"(15)"</f>
        <v>(15)</v>
      </c>
      <c r="M335" s="102" t="e">
        <f>SUM(M330*1.22)</f>
        <v>#REF!</v>
      </c>
      <c r="N335" s="103" t="str">
        <f>"(15)"</f>
        <v>(15)</v>
      </c>
      <c r="O335" s="102" t="e">
        <f>SUM(O330*1.22)</f>
        <v>#REF!</v>
      </c>
      <c r="P335" s="87" t="str">
        <f>"(15)"</f>
        <v>(15)</v>
      </c>
    </row>
    <row r="336" spans="2:16" ht="16.5" x14ac:dyDescent="0.35">
      <c r="B336" s="145"/>
      <c r="C336" s="8"/>
      <c r="D336" s="8"/>
      <c r="E336" s="8"/>
      <c r="F336" s="8"/>
      <c r="G336" s="8"/>
      <c r="H336" s="192"/>
      <c r="I336" s="102" t="e">
        <f>SUM(K336+M336+O336)</f>
        <v>#REF!</v>
      </c>
      <c r="J336" s="103" t="str">
        <f>"(50)"</f>
        <v>(50)</v>
      </c>
      <c r="K336" s="97" t="e">
        <f>K331</f>
        <v>#REF!</v>
      </c>
      <c r="L336" s="98" t="str">
        <f>"(50)"</f>
        <v>(50)</v>
      </c>
      <c r="M336" s="102" t="e">
        <f>M331</f>
        <v>#REF!</v>
      </c>
      <c r="N336" s="103" t="str">
        <f>"(50)"</f>
        <v>(50)</v>
      </c>
      <c r="O336" s="102" t="e">
        <f>O331</f>
        <v>#REF!</v>
      </c>
      <c r="P336" s="87" t="str">
        <f>"(50)"</f>
        <v>(50)</v>
      </c>
    </row>
    <row r="337" spans="2:16" ht="17" thickBot="1" x14ac:dyDescent="0.4">
      <c r="B337" s="160"/>
      <c r="C337" s="161"/>
      <c r="D337" s="161"/>
      <c r="E337" s="161"/>
      <c r="F337" s="161"/>
      <c r="G337" s="161"/>
      <c r="H337" s="193"/>
      <c r="I337" s="130" t="e">
        <f>SUM(K337+M337+O337)</f>
        <v>#REF!</v>
      </c>
      <c r="J337" s="131" t="str">
        <f>"(55)"</f>
        <v>(55)</v>
      </c>
      <c r="K337" s="93" t="e">
        <f>SUM(K332*1.2)</f>
        <v>#REF!</v>
      </c>
      <c r="L337" s="94" t="str">
        <f>"(55)"</f>
        <v>(55)</v>
      </c>
      <c r="M337" s="130" t="e">
        <f>SUM(M332*1.22)</f>
        <v>#REF!</v>
      </c>
      <c r="N337" s="131" t="str">
        <f>"(55)"</f>
        <v>(55)</v>
      </c>
      <c r="O337" s="130" t="e">
        <f>SUM(O332*1.22)</f>
        <v>#REF!</v>
      </c>
      <c r="P337" s="96" t="str">
        <f>"(55)"</f>
        <v>(55)</v>
      </c>
    </row>
    <row r="338" spans="2:16" ht="16.5" x14ac:dyDescent="0.35">
      <c r="B338" s="187" t="str">
        <f>'kuni 2025 detsember tegevuskava'!A45&amp;"/"&amp;'kuni 2025 detsember tegevuskava'!C45</f>
        <v>Sotsiaalministeerium / TEHIK/Terviseamet/</v>
      </c>
      <c r="C338" s="156" t="str">
        <f>'kuni 2025 detsember tegevuskava'!I45</f>
        <v>Tuua kõik keskkonnatervisega seotud teenused ühte infosüsteemi, mis täna on erinevates vanenenud andmekogudes ja ei vasta riigi ühtsetele nõuetele. Analüüs, sh aruandluse ja avaandmete analüüs. Prototüüp, sh teenuse disain ja sihtgruppidega testimine</v>
      </c>
      <c r="D338" s="156" t="str">
        <f>'kuni 2025 detsember tegevuskava'!J45</f>
        <v>Terviseteadlik kodanik/ Keskkonnatervise infosüsteem</v>
      </c>
      <c r="E338" s="156" t="str">
        <f>'kuni 2025 detsember tegevuskava'!K45</f>
        <v>2024. a lõpuks valmib analüüs.</v>
      </c>
      <c r="F338" s="156" t="str">
        <f>'kuni 2025 detsember tegevuskava'!O45&amp;"/"</f>
        <v>SF 21-27 (taotletav raha)/</v>
      </c>
      <c r="G338" s="156" cm="1">
        <f t="array" ref="G338">_xlfn.IFS('kuni 2025 detsember tegevuskava'!G45='kuni 2025 detsember tegevuskava'!$G$77,1,'kuni 2025 detsember tegevuskava'!G45='kuni 2025 detsember tegevuskava'!$G$78,2,'kuni 2025 detsember tegevuskava'!G45='kuni 2025 detsember tegevuskava'!$G$79,3,'kuni 2025 detsember tegevuskava'!G45='kuni 2025 detsember tegevuskava'!$G$80,4)</f>
        <v>1</v>
      </c>
      <c r="H338" s="194" cm="1">
        <f t="array" ref="H338">_xlfn.IFS(OR('kuni 2025 detsember tegevuskava'!O45='kuni 2025 detsember tegevuskava'!$O$77,'kuni 2025 detsember tegevuskava'!O45='kuni 2025 detsember tegevuskava'!$O$79,'kuni 2025 detsember tegevuskava'!O45='kuni 2025 detsember tegevuskava'!$O$80,'kuni 2025 detsember tegevuskava'!O45='kuni 2025 detsember tegevuskava'!$O$81),1,'kuni 2025 detsember tegevuskava'!O45='kuni 2025 detsember tegevuskava'!$O$82,2,'kuni 2025 detsember tegevuskava'!O45='kuni 2025 detsember tegevuskava'!$O$83,2,'kuni 2025 detsember tegevuskava'!O45='kuni 2025 detsember tegevuskava'!$O$78,3)</f>
        <v>2</v>
      </c>
      <c r="I338" s="132">
        <f>SUM(I339:I341)</f>
        <v>151319</v>
      </c>
      <c r="J338" s="133"/>
      <c r="K338" s="81">
        <f>SUM(K339:K341)</f>
        <v>0</v>
      </c>
      <c r="L338" s="83"/>
      <c r="M338" s="132">
        <f>SUM(M339:M341)</f>
        <v>151319</v>
      </c>
      <c r="N338" s="133"/>
      <c r="O338" s="81">
        <f>SUM(O339:O341)</f>
        <v>0</v>
      </c>
      <c r="P338" s="85"/>
    </row>
    <row r="339" spans="2:16" ht="16.5" x14ac:dyDescent="0.35">
      <c r="B339" s="145"/>
      <c r="C339" s="8"/>
      <c r="D339" s="8"/>
      <c r="E339" s="8"/>
      <c r="F339" s="8"/>
      <c r="G339" s="8"/>
      <c r="H339" s="192"/>
      <c r="I339" s="102">
        <f>SUM(K339+M339+O339)</f>
        <v>125000</v>
      </c>
      <c r="J339" s="103" t="str">
        <f>"(15)"</f>
        <v>(15)</v>
      </c>
      <c r="K339" s="97">
        <f>'kuni 2025 detsember tegevuskava'!W45</f>
        <v>0</v>
      </c>
      <c r="L339" s="98" t="str">
        <f>"(15)"</f>
        <v>(15)</v>
      </c>
      <c r="M339" s="102">
        <f>'kuni 2025 detsember tegevuskava'!Z45</f>
        <v>125000</v>
      </c>
      <c r="N339" s="103" t="str">
        <f>"(15)"</f>
        <v>(15)</v>
      </c>
      <c r="O339" s="97">
        <f>'kuni 2025 detsember tegevuskava'!AC45</f>
        <v>0</v>
      </c>
      <c r="P339" s="87" t="str">
        <f>"(15)"</f>
        <v>(15)</v>
      </c>
    </row>
    <row r="340" spans="2:16" ht="16.5" x14ac:dyDescent="0.35">
      <c r="B340" s="145"/>
      <c r="C340" s="8"/>
      <c r="D340" s="8"/>
      <c r="E340" s="8"/>
      <c r="F340" s="8"/>
      <c r="G340" s="8"/>
      <c r="H340" s="192"/>
      <c r="I340" s="102">
        <f>SUM(K340+M340+O340)</f>
        <v>26319</v>
      </c>
      <c r="J340" s="103" t="str">
        <f>"(50)"</f>
        <v>(50)</v>
      </c>
      <c r="K340" s="97">
        <f>'kuni 2025 detsember tegevuskava'!X45</f>
        <v>0</v>
      </c>
      <c r="L340" s="98" t="str">
        <f>"(50)"</f>
        <v>(50)</v>
      </c>
      <c r="M340" s="102">
        <f>'kuni 2025 detsember tegevuskava'!AA45</f>
        <v>26319</v>
      </c>
      <c r="N340" s="103" t="str">
        <f>"(50)"</f>
        <v>(50)</v>
      </c>
      <c r="O340" s="97">
        <f>'kuni 2025 detsember tegevuskava'!AD45</f>
        <v>0</v>
      </c>
      <c r="P340" s="87" t="str">
        <f>"(50)"</f>
        <v>(50)</v>
      </c>
    </row>
    <row r="341" spans="2:16" ht="16.5" x14ac:dyDescent="0.35">
      <c r="B341" s="145"/>
      <c r="C341" s="8"/>
      <c r="D341" s="8"/>
      <c r="E341" s="8"/>
      <c r="F341" s="8"/>
      <c r="G341" s="8"/>
      <c r="H341" s="192"/>
      <c r="I341" s="104">
        <f>SUM(K341+M341+O341)</f>
        <v>0</v>
      </c>
      <c r="J341" s="105" t="str">
        <f>"(55)"</f>
        <v>(55)</v>
      </c>
      <c r="K341" s="99">
        <f>'kuni 2025 detsember tegevuskava'!Y45</f>
        <v>0</v>
      </c>
      <c r="L341" s="88" t="str">
        <f>"(55)"</f>
        <v>(55)</v>
      </c>
      <c r="M341" s="104">
        <f>'kuni 2025 detsember tegevuskava'!AB45</f>
        <v>0</v>
      </c>
      <c r="N341" s="105" t="str">
        <f>"(55)"</f>
        <v>(55)</v>
      </c>
      <c r="O341" s="99">
        <f>'kuni 2025 detsember tegevuskava'!AE45</f>
        <v>0</v>
      </c>
      <c r="P341" s="90" t="str">
        <f>"(55)"</f>
        <v>(55)</v>
      </c>
    </row>
    <row r="342" spans="2:16" ht="16.5" x14ac:dyDescent="0.35">
      <c r="B342" s="145"/>
      <c r="C342" s="8"/>
      <c r="D342" s="8"/>
      <c r="E342" s="8"/>
      <c r="F342" s="8"/>
      <c r="G342" s="8"/>
      <c r="H342" s="192"/>
      <c r="I342" s="151" t="s">
        <v>553</v>
      </c>
      <c r="J342" s="8"/>
      <c r="K342" s="8"/>
      <c r="L342" s="8"/>
      <c r="M342" s="8"/>
      <c r="N342" s="8"/>
      <c r="O342" s="8"/>
      <c r="P342" s="159"/>
    </row>
    <row r="343" spans="2:16" ht="16.5" x14ac:dyDescent="0.35">
      <c r="B343" s="145"/>
      <c r="C343" s="8"/>
      <c r="D343" s="8"/>
      <c r="E343" s="8"/>
      <c r="F343" s="8"/>
      <c r="G343" s="8"/>
      <c r="H343" s="192"/>
      <c r="I343" s="100">
        <f>SUM(I344:I346)</f>
        <v>178819</v>
      </c>
      <c r="J343" s="101"/>
      <c r="K343" s="91">
        <f>SUM(K344:K346)</f>
        <v>0</v>
      </c>
      <c r="L343" s="92"/>
      <c r="M343" s="100">
        <f>SUM(M344:M346)</f>
        <v>178819</v>
      </c>
      <c r="N343" s="106"/>
      <c r="O343" s="100">
        <f>SUM(O344:O346)</f>
        <v>0</v>
      </c>
      <c r="P343" s="134"/>
    </row>
    <row r="344" spans="2:16" ht="16.5" x14ac:dyDescent="0.35">
      <c r="B344" s="145"/>
      <c r="C344" s="8"/>
      <c r="D344" s="8"/>
      <c r="E344" s="8"/>
      <c r="F344" s="8"/>
      <c r="G344" s="8"/>
      <c r="H344" s="192"/>
      <c r="I344" s="102">
        <f>SUM(K344+M344+O344)</f>
        <v>152500</v>
      </c>
      <c r="J344" s="103" t="str">
        <f>"(15)"</f>
        <v>(15)</v>
      </c>
      <c r="K344" s="97">
        <f>SUM(K339*1.2)</f>
        <v>0</v>
      </c>
      <c r="L344" s="98" t="str">
        <f>"(15)"</f>
        <v>(15)</v>
      </c>
      <c r="M344" s="102">
        <f>SUM(M339*1.22)</f>
        <v>152500</v>
      </c>
      <c r="N344" s="103" t="str">
        <f>"(15)"</f>
        <v>(15)</v>
      </c>
      <c r="O344" s="102">
        <f>SUM(O339*1.22)</f>
        <v>0</v>
      </c>
      <c r="P344" s="87" t="str">
        <f>"(15)"</f>
        <v>(15)</v>
      </c>
    </row>
    <row r="345" spans="2:16" ht="16.5" x14ac:dyDescent="0.35">
      <c r="B345" s="145"/>
      <c r="C345" s="8"/>
      <c r="D345" s="8"/>
      <c r="E345" s="8"/>
      <c r="F345" s="8"/>
      <c r="G345" s="8"/>
      <c r="H345" s="192"/>
      <c r="I345" s="102">
        <f>SUM(K345+M345+O345)</f>
        <v>26319</v>
      </c>
      <c r="J345" s="103" t="str">
        <f>"(50)"</f>
        <v>(50)</v>
      </c>
      <c r="K345" s="97">
        <f>K340</f>
        <v>0</v>
      </c>
      <c r="L345" s="98" t="str">
        <f>"(50)"</f>
        <v>(50)</v>
      </c>
      <c r="M345" s="102">
        <f>M340</f>
        <v>26319</v>
      </c>
      <c r="N345" s="103" t="str">
        <f>"(50)"</f>
        <v>(50)</v>
      </c>
      <c r="O345" s="102">
        <f>O340</f>
        <v>0</v>
      </c>
      <c r="P345" s="87" t="str">
        <f>"(50)"</f>
        <v>(50)</v>
      </c>
    </row>
    <row r="346" spans="2:16" ht="17" thickBot="1" x14ac:dyDescent="0.4">
      <c r="B346" s="160"/>
      <c r="C346" s="161"/>
      <c r="D346" s="161"/>
      <c r="E346" s="161"/>
      <c r="F346" s="161"/>
      <c r="G346" s="161"/>
      <c r="H346" s="193"/>
      <c r="I346" s="130">
        <f>SUM(K346+M346+O346)</f>
        <v>0</v>
      </c>
      <c r="J346" s="131" t="str">
        <f>"(55)"</f>
        <v>(55)</v>
      </c>
      <c r="K346" s="93">
        <f>SUM(K341*1.2)</f>
        <v>0</v>
      </c>
      <c r="L346" s="94" t="str">
        <f>"(55)"</f>
        <v>(55)</v>
      </c>
      <c r="M346" s="130">
        <f>SUM(M341*1.22)</f>
        <v>0</v>
      </c>
      <c r="N346" s="131" t="str">
        <f>"(55)"</f>
        <v>(55)</v>
      </c>
      <c r="O346" s="130">
        <f>SUM(O341*1.22)</f>
        <v>0</v>
      </c>
      <c r="P346" s="96" t="str">
        <f>"(55)"</f>
        <v>(55)</v>
      </c>
    </row>
    <row r="347" spans="2:16" ht="16.5" x14ac:dyDescent="0.35">
      <c r="B347" s="187" t="str">
        <f>'kuni 2025 detsember tegevuskava'!A46&amp;"/"&amp;'kuni 2025 detsember tegevuskava'!C46</f>
        <v>Sotsiaalministeerium / TEHIK/Terviseamet/</v>
      </c>
      <c r="C347" s="156" t="str">
        <f>'kuni 2025 detsember tegevuskava'!I46</f>
        <v xml:space="preserve">Arendustöödes taaskasutatakse juba olemasolevaid komponente (VEERA kujundus, mikroteenuste arhitektuur ja selle komponendid) </v>
      </c>
      <c r="D347" s="156" t="str">
        <f>'kuni 2025 detsember tegevuskava'!J46</f>
        <v>Terviseteadlik kodanik/ Keskkonnatervise infosüsteem</v>
      </c>
      <c r="E347" s="156" t="str">
        <f>'kuni 2025 detsember tegevuskava'!K46</f>
        <v>2024 - 2026, sh moodulite arendus, andmete migratsioon ja liidesed erinevate süsteemidega</v>
      </c>
      <c r="F347" s="156" t="str">
        <f>'kuni 2025 detsember tegevuskava'!O46&amp;"/"</f>
        <v>SF 21-27 (taotletav raha)/</v>
      </c>
      <c r="G347" s="156" cm="1">
        <f t="array" ref="G347">_xlfn.IFS('kuni 2025 detsember tegevuskava'!G46='kuni 2025 detsember tegevuskava'!$G$77,1,'kuni 2025 detsember tegevuskava'!G46='kuni 2025 detsember tegevuskava'!$G$78,2,'kuni 2025 detsember tegevuskava'!G46='kuni 2025 detsember tegevuskava'!$G$79,3,'kuni 2025 detsember tegevuskava'!G46='kuni 2025 detsember tegevuskava'!$G$80,4)</f>
        <v>1</v>
      </c>
      <c r="H347" s="194" cm="1">
        <f t="array" ref="H347">_xlfn.IFS(OR('kuni 2025 detsember tegevuskava'!O46='kuni 2025 detsember tegevuskava'!$O$77,'kuni 2025 detsember tegevuskava'!O46='kuni 2025 detsember tegevuskava'!$O$79,'kuni 2025 detsember tegevuskava'!O46='kuni 2025 detsember tegevuskava'!$O$80,'kuni 2025 detsember tegevuskava'!O46='kuni 2025 detsember tegevuskava'!$O$81),1,'kuni 2025 detsember tegevuskava'!O46='kuni 2025 detsember tegevuskava'!$O$82,2,'kuni 2025 detsember tegevuskava'!O46='kuni 2025 detsember tegevuskava'!$O$83,2,'kuni 2025 detsember tegevuskava'!O46='kuni 2025 detsember tegevuskava'!$O$78,3)</f>
        <v>2</v>
      </c>
      <c r="I347" s="132">
        <f>SUM(I348:I350)</f>
        <v>852380</v>
      </c>
      <c r="J347" s="133"/>
      <c r="K347" s="81">
        <f>SUM(K348:K350)</f>
        <v>0</v>
      </c>
      <c r="L347" s="83"/>
      <c r="M347" s="132">
        <f>SUM(M348:M350)</f>
        <v>258846</v>
      </c>
      <c r="N347" s="133"/>
      <c r="O347" s="81">
        <f>SUM(O348:O350)</f>
        <v>593534</v>
      </c>
      <c r="P347" s="85"/>
    </row>
    <row r="348" spans="2:16" ht="16.5" x14ac:dyDescent="0.35">
      <c r="B348" s="145"/>
      <c r="C348" s="8"/>
      <c r="D348" s="8"/>
      <c r="E348" s="8"/>
      <c r="F348" s="8"/>
      <c r="G348" s="8"/>
      <c r="H348" s="192"/>
      <c r="I348" s="102">
        <f>SUM(K348+M348+O348)</f>
        <v>703500</v>
      </c>
      <c r="J348" s="103" t="str">
        <f>"(15)"</f>
        <v>(15)</v>
      </c>
      <c r="K348" s="97">
        <f>'kuni 2025 detsember tegevuskava'!W46</f>
        <v>0</v>
      </c>
      <c r="L348" s="98" t="str">
        <f>"(15)"</f>
        <v>(15)</v>
      </c>
      <c r="M348" s="102">
        <f>'kuni 2025 detsember tegevuskava'!Z46</f>
        <v>201300</v>
      </c>
      <c r="N348" s="103" t="str">
        <f>"(15)"</f>
        <v>(15)</v>
      </c>
      <c r="O348" s="97">
        <f>'kuni 2025 detsember tegevuskava'!AC46</f>
        <v>502200</v>
      </c>
      <c r="P348" s="87" t="str">
        <f>"(15)"</f>
        <v>(15)</v>
      </c>
    </row>
    <row r="349" spans="2:16" ht="16.5" x14ac:dyDescent="0.35">
      <c r="B349" s="145"/>
      <c r="C349" s="8"/>
      <c r="D349" s="8"/>
      <c r="E349" s="8"/>
      <c r="F349" s="8"/>
      <c r="G349" s="8"/>
      <c r="H349" s="192"/>
      <c r="I349" s="102">
        <f>SUM(K349+M349+O349)</f>
        <v>148880</v>
      </c>
      <c r="J349" s="103" t="str">
        <f>"(50)"</f>
        <v>(50)</v>
      </c>
      <c r="K349" s="97">
        <f>'kuni 2025 detsember tegevuskava'!X46</f>
        <v>0</v>
      </c>
      <c r="L349" s="98" t="str">
        <f>"(50)"</f>
        <v>(50)</v>
      </c>
      <c r="M349" s="102">
        <f>'kuni 2025 detsember tegevuskava'!AA46</f>
        <v>57546</v>
      </c>
      <c r="N349" s="103" t="str">
        <f>"(50)"</f>
        <v>(50)</v>
      </c>
      <c r="O349" s="97">
        <f>'kuni 2025 detsember tegevuskava'!AD46</f>
        <v>91334</v>
      </c>
      <c r="P349" s="87" t="str">
        <f>"(50)"</f>
        <v>(50)</v>
      </c>
    </row>
    <row r="350" spans="2:16" ht="16.5" x14ac:dyDescent="0.35">
      <c r="B350" s="145"/>
      <c r="C350" s="8"/>
      <c r="D350" s="8"/>
      <c r="E350" s="8"/>
      <c r="F350" s="8"/>
      <c r="G350" s="8"/>
      <c r="H350" s="192"/>
      <c r="I350" s="104">
        <f>SUM(K350+M350+O350)</f>
        <v>0</v>
      </c>
      <c r="J350" s="105" t="str">
        <f>"(55)"</f>
        <v>(55)</v>
      </c>
      <c r="K350" s="99">
        <f>'kuni 2025 detsember tegevuskava'!Y46</f>
        <v>0</v>
      </c>
      <c r="L350" s="88" t="str">
        <f>"(55)"</f>
        <v>(55)</v>
      </c>
      <c r="M350" s="104">
        <f>'kuni 2025 detsember tegevuskava'!AB46</f>
        <v>0</v>
      </c>
      <c r="N350" s="105" t="str">
        <f>"(55)"</f>
        <v>(55)</v>
      </c>
      <c r="O350" s="99">
        <f>'kuni 2025 detsember tegevuskava'!AE46</f>
        <v>0</v>
      </c>
      <c r="P350" s="90" t="str">
        <f>"(55)"</f>
        <v>(55)</v>
      </c>
    </row>
    <row r="351" spans="2:16" ht="16.5" x14ac:dyDescent="0.35">
      <c r="B351" s="145"/>
      <c r="C351" s="8"/>
      <c r="D351" s="8"/>
      <c r="E351" s="8"/>
      <c r="F351" s="8"/>
      <c r="G351" s="8"/>
      <c r="H351" s="192"/>
      <c r="I351" s="151" t="s">
        <v>553</v>
      </c>
      <c r="J351" s="8"/>
      <c r="K351" s="8"/>
      <c r="L351" s="8"/>
      <c r="M351" s="8"/>
      <c r="N351" s="8"/>
      <c r="O351" s="8"/>
      <c r="P351" s="159"/>
    </row>
    <row r="352" spans="2:16" ht="16.5" x14ac:dyDescent="0.35">
      <c r="B352" s="145"/>
      <c r="C352" s="8"/>
      <c r="D352" s="8"/>
      <c r="E352" s="8"/>
      <c r="F352" s="8"/>
      <c r="G352" s="8"/>
      <c r="H352" s="192"/>
      <c r="I352" s="100">
        <f>SUM(I353:I355)</f>
        <v>1007150</v>
      </c>
      <c r="J352" s="101"/>
      <c r="K352" s="91">
        <f>SUM(K353:K355)</f>
        <v>0</v>
      </c>
      <c r="L352" s="92"/>
      <c r="M352" s="100">
        <f>SUM(M353:M355)</f>
        <v>303132</v>
      </c>
      <c r="N352" s="106"/>
      <c r="O352" s="100">
        <f>SUM(O353:O355)</f>
        <v>704018</v>
      </c>
      <c r="P352" s="134"/>
    </row>
    <row r="353" spans="2:16" ht="16.5" x14ac:dyDescent="0.35">
      <c r="B353" s="145"/>
      <c r="C353" s="8"/>
      <c r="D353" s="8"/>
      <c r="E353" s="8"/>
      <c r="F353" s="8"/>
      <c r="G353" s="8"/>
      <c r="H353" s="192"/>
      <c r="I353" s="102">
        <f>SUM(K353+M353+O353)</f>
        <v>858270</v>
      </c>
      <c r="J353" s="103" t="str">
        <f>"(15)"</f>
        <v>(15)</v>
      </c>
      <c r="K353" s="97">
        <f>SUM(K348*1.2)</f>
        <v>0</v>
      </c>
      <c r="L353" s="98" t="str">
        <f>"(15)"</f>
        <v>(15)</v>
      </c>
      <c r="M353" s="102">
        <f>SUM(M348*1.22)</f>
        <v>245586</v>
      </c>
      <c r="N353" s="103" t="str">
        <f>"(15)"</f>
        <v>(15)</v>
      </c>
      <c r="O353" s="102">
        <f>SUM(O348*1.22)</f>
        <v>612684</v>
      </c>
      <c r="P353" s="87" t="str">
        <f>"(15)"</f>
        <v>(15)</v>
      </c>
    </row>
    <row r="354" spans="2:16" ht="16.5" x14ac:dyDescent="0.35">
      <c r="B354" s="145"/>
      <c r="C354" s="8"/>
      <c r="D354" s="8"/>
      <c r="E354" s="8"/>
      <c r="F354" s="8"/>
      <c r="G354" s="8"/>
      <c r="H354" s="192"/>
      <c r="I354" s="102">
        <f>SUM(K354+M354+O354)</f>
        <v>148880</v>
      </c>
      <c r="J354" s="103" t="str">
        <f>"(50)"</f>
        <v>(50)</v>
      </c>
      <c r="K354" s="97">
        <f>K349</f>
        <v>0</v>
      </c>
      <c r="L354" s="98" t="str">
        <f>"(50)"</f>
        <v>(50)</v>
      </c>
      <c r="M354" s="102">
        <f>M349</f>
        <v>57546</v>
      </c>
      <c r="N354" s="103" t="str">
        <f>"(50)"</f>
        <v>(50)</v>
      </c>
      <c r="O354" s="102">
        <f>O349</f>
        <v>91334</v>
      </c>
      <c r="P354" s="87" t="str">
        <f>"(50)"</f>
        <v>(50)</v>
      </c>
    </row>
    <row r="355" spans="2:16" ht="17" thickBot="1" x14ac:dyDescent="0.4">
      <c r="B355" s="160"/>
      <c r="C355" s="161"/>
      <c r="D355" s="161"/>
      <c r="E355" s="161"/>
      <c r="F355" s="161"/>
      <c r="G355" s="161"/>
      <c r="H355" s="193"/>
      <c r="I355" s="130">
        <f>SUM(K355+M355+O355)</f>
        <v>0</v>
      </c>
      <c r="J355" s="131" t="str">
        <f>"(55)"</f>
        <v>(55)</v>
      </c>
      <c r="K355" s="93">
        <f>SUM(K350*1.2)</f>
        <v>0</v>
      </c>
      <c r="L355" s="94" t="str">
        <f>"(55)"</f>
        <v>(55)</v>
      </c>
      <c r="M355" s="130">
        <f>SUM(M350*1.22)</f>
        <v>0</v>
      </c>
      <c r="N355" s="131" t="str">
        <f>"(55)"</f>
        <v>(55)</v>
      </c>
      <c r="O355" s="130">
        <f>SUM(O350*1.22)</f>
        <v>0</v>
      </c>
      <c r="P355" s="96" t="str">
        <f>"(55)"</f>
        <v>(55)</v>
      </c>
    </row>
    <row r="356" spans="2:16" ht="16.5" x14ac:dyDescent="0.35">
      <c r="B356" s="187" t="e">
        <f>'kuni 2025 detsember tegevuskava'!#REF!&amp;"/"&amp;'kuni 2025 detsember tegevuskava'!#REF!</f>
        <v>#REF!</v>
      </c>
      <c r="C356" s="156" t="e">
        <f>'kuni 2025 detsember tegevuskava'!#REF!</f>
        <v>#REF!</v>
      </c>
      <c r="D356" s="156" t="e">
        <f>'kuni 2025 detsember tegevuskava'!#REF!</f>
        <v>#REF!</v>
      </c>
      <c r="E356" s="156" t="e">
        <f>'kuni 2025 detsember tegevuskava'!#REF!</f>
        <v>#REF!</v>
      </c>
      <c r="F356" s="156" t="e">
        <f>'kuni 2025 detsember tegevuskava'!#REF!&amp;"/"</f>
        <v>#REF!</v>
      </c>
      <c r="G356" s="156" t="e" cm="1">
        <f t="array" ref="G356">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356" s="194" t="e" cm="1">
        <f t="array" ref="H356">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356" s="132" t="e">
        <f>SUM(I357:I359)</f>
        <v>#REF!</v>
      </c>
      <c r="J356" s="133"/>
      <c r="K356" s="81" t="e">
        <f>SUM(K357:K359)</f>
        <v>#REF!</v>
      </c>
      <c r="L356" s="83"/>
      <c r="M356" s="132" t="e">
        <f>SUM(M357:M359)</f>
        <v>#REF!</v>
      </c>
      <c r="N356" s="133"/>
      <c r="O356" s="81" t="e">
        <f>SUM(O357:O359)</f>
        <v>#REF!</v>
      </c>
      <c r="P356" s="85"/>
    </row>
    <row r="357" spans="2:16" ht="16.5" x14ac:dyDescent="0.35">
      <c r="B357" s="145"/>
      <c r="C357" s="8"/>
      <c r="D357" s="8"/>
      <c r="E357" s="8"/>
      <c r="F357" s="8"/>
      <c r="G357" s="8"/>
      <c r="H357" s="192"/>
      <c r="I357" s="102" t="e">
        <f>SUM(K357+M357+O357)</f>
        <v>#REF!</v>
      </c>
      <c r="J357" s="103" t="str">
        <f>"(15)"</f>
        <v>(15)</v>
      </c>
      <c r="K357" s="97" t="e">
        <f>'kuni 2025 detsember tegevuskava'!#REF!</f>
        <v>#REF!</v>
      </c>
      <c r="L357" s="98" t="str">
        <f>"(15)"</f>
        <v>(15)</v>
      </c>
      <c r="M357" s="102" t="e">
        <f>'kuni 2025 detsember tegevuskava'!#REF!</f>
        <v>#REF!</v>
      </c>
      <c r="N357" s="103" t="str">
        <f>"(15)"</f>
        <v>(15)</v>
      </c>
      <c r="O357" s="97" t="e">
        <f>'kuni 2025 detsember tegevuskava'!#REF!</f>
        <v>#REF!</v>
      </c>
      <c r="P357" s="87" t="str">
        <f>"(15)"</f>
        <v>(15)</v>
      </c>
    </row>
    <row r="358" spans="2:16" ht="16.5" x14ac:dyDescent="0.35">
      <c r="B358" s="145"/>
      <c r="C358" s="8"/>
      <c r="D358" s="8"/>
      <c r="E358" s="8"/>
      <c r="F358" s="8"/>
      <c r="G358" s="8"/>
      <c r="H358" s="192"/>
      <c r="I358" s="102" t="e">
        <f>SUM(K358+M358+O358)</f>
        <v>#REF!</v>
      </c>
      <c r="J358" s="103" t="str">
        <f>"(50)"</f>
        <v>(50)</v>
      </c>
      <c r="K358" s="97" t="e">
        <f>'kuni 2025 detsember tegevuskava'!#REF!</f>
        <v>#REF!</v>
      </c>
      <c r="L358" s="98" t="str">
        <f>"(50)"</f>
        <v>(50)</v>
      </c>
      <c r="M358" s="102" t="e">
        <f>'kuni 2025 detsember tegevuskava'!#REF!</f>
        <v>#REF!</v>
      </c>
      <c r="N358" s="103" t="str">
        <f>"(50)"</f>
        <v>(50)</v>
      </c>
      <c r="O358" s="97" t="e">
        <f>'kuni 2025 detsember tegevuskava'!#REF!</f>
        <v>#REF!</v>
      </c>
      <c r="P358" s="87" t="str">
        <f>"(50)"</f>
        <v>(50)</v>
      </c>
    </row>
    <row r="359" spans="2:16" ht="16.5" x14ac:dyDescent="0.35">
      <c r="B359" s="145"/>
      <c r="C359" s="8"/>
      <c r="D359" s="8"/>
      <c r="E359" s="8"/>
      <c r="F359" s="8"/>
      <c r="G359" s="8"/>
      <c r="H359" s="192"/>
      <c r="I359" s="104" t="e">
        <f>SUM(K359+M359+O359)</f>
        <v>#REF!</v>
      </c>
      <c r="J359" s="105" t="str">
        <f>"(55)"</f>
        <v>(55)</v>
      </c>
      <c r="K359" s="99" t="e">
        <f>'kuni 2025 detsember tegevuskava'!#REF!</f>
        <v>#REF!</v>
      </c>
      <c r="L359" s="88" t="str">
        <f>"(55)"</f>
        <v>(55)</v>
      </c>
      <c r="M359" s="104" t="e">
        <f>'kuni 2025 detsember tegevuskava'!#REF!</f>
        <v>#REF!</v>
      </c>
      <c r="N359" s="105" t="str">
        <f>"(55)"</f>
        <v>(55)</v>
      </c>
      <c r="O359" s="99" t="e">
        <f>'kuni 2025 detsember tegevuskava'!#REF!</f>
        <v>#REF!</v>
      </c>
      <c r="P359" s="90" t="str">
        <f>"(55)"</f>
        <v>(55)</v>
      </c>
    </row>
    <row r="360" spans="2:16" ht="16.5" x14ac:dyDescent="0.35">
      <c r="B360" s="145"/>
      <c r="C360" s="8"/>
      <c r="D360" s="8"/>
      <c r="E360" s="8"/>
      <c r="F360" s="8"/>
      <c r="G360" s="8"/>
      <c r="H360" s="192"/>
      <c r="I360" s="151" t="s">
        <v>553</v>
      </c>
      <c r="J360" s="8"/>
      <c r="K360" s="8"/>
      <c r="L360" s="8"/>
      <c r="M360" s="8"/>
      <c r="N360" s="8"/>
      <c r="O360" s="8"/>
      <c r="P360" s="159"/>
    </row>
    <row r="361" spans="2:16" ht="16.5" x14ac:dyDescent="0.35">
      <c r="B361" s="145"/>
      <c r="C361" s="8"/>
      <c r="D361" s="8"/>
      <c r="E361" s="8"/>
      <c r="F361" s="8"/>
      <c r="G361" s="8"/>
      <c r="H361" s="192"/>
      <c r="I361" s="100" t="e">
        <f>SUM(I362:I364)</f>
        <v>#REF!</v>
      </c>
      <c r="J361" s="101"/>
      <c r="K361" s="91" t="e">
        <f>SUM(K362:K364)</f>
        <v>#REF!</v>
      </c>
      <c r="L361" s="92"/>
      <c r="M361" s="100" t="e">
        <f>SUM(M362:M364)</f>
        <v>#REF!</v>
      </c>
      <c r="N361" s="106"/>
      <c r="O361" s="100" t="e">
        <f>SUM(O362:O364)</f>
        <v>#REF!</v>
      </c>
      <c r="P361" s="134"/>
    </row>
    <row r="362" spans="2:16" ht="16.5" x14ac:dyDescent="0.35">
      <c r="B362" s="145"/>
      <c r="C362" s="8"/>
      <c r="D362" s="8"/>
      <c r="E362" s="8"/>
      <c r="F362" s="8"/>
      <c r="G362" s="8"/>
      <c r="H362" s="192"/>
      <c r="I362" s="102" t="e">
        <f>SUM(K362+M362+O362)</f>
        <v>#REF!</v>
      </c>
      <c r="J362" s="103" t="str">
        <f>"(15)"</f>
        <v>(15)</v>
      </c>
      <c r="K362" s="97" t="e">
        <f>SUM(K357*1.2)</f>
        <v>#REF!</v>
      </c>
      <c r="L362" s="98" t="str">
        <f>"(15)"</f>
        <v>(15)</v>
      </c>
      <c r="M362" s="102" t="e">
        <f>SUM(M357*1.22)</f>
        <v>#REF!</v>
      </c>
      <c r="N362" s="103" t="str">
        <f>"(15)"</f>
        <v>(15)</v>
      </c>
      <c r="O362" s="102" t="e">
        <f>SUM(O357*1.22)</f>
        <v>#REF!</v>
      </c>
      <c r="P362" s="87" t="str">
        <f>"(15)"</f>
        <v>(15)</v>
      </c>
    </row>
    <row r="363" spans="2:16" ht="16.5" x14ac:dyDescent="0.35">
      <c r="B363" s="145"/>
      <c r="C363" s="8"/>
      <c r="D363" s="8"/>
      <c r="E363" s="8"/>
      <c r="F363" s="8"/>
      <c r="G363" s="8"/>
      <c r="H363" s="192"/>
      <c r="I363" s="102" t="e">
        <f>SUM(K363+M363+O363)</f>
        <v>#REF!</v>
      </c>
      <c r="J363" s="103" t="str">
        <f>"(50)"</f>
        <v>(50)</v>
      </c>
      <c r="K363" s="97" t="e">
        <f>K358</f>
        <v>#REF!</v>
      </c>
      <c r="L363" s="98" t="str">
        <f>"(50)"</f>
        <v>(50)</v>
      </c>
      <c r="M363" s="102" t="e">
        <f>M358</f>
        <v>#REF!</v>
      </c>
      <c r="N363" s="103" t="str">
        <f>"(50)"</f>
        <v>(50)</v>
      </c>
      <c r="O363" s="102" t="e">
        <f>O358</f>
        <v>#REF!</v>
      </c>
      <c r="P363" s="87" t="str">
        <f>"(50)"</f>
        <v>(50)</v>
      </c>
    </row>
    <row r="364" spans="2:16" ht="17" thickBot="1" x14ac:dyDescent="0.4">
      <c r="B364" s="160"/>
      <c r="C364" s="161"/>
      <c r="D364" s="161"/>
      <c r="E364" s="161"/>
      <c r="F364" s="161"/>
      <c r="G364" s="161"/>
      <c r="H364" s="193"/>
      <c r="I364" s="130" t="e">
        <f>SUM(K364+M364+O364)</f>
        <v>#REF!</v>
      </c>
      <c r="J364" s="131" t="str">
        <f>"(55)"</f>
        <v>(55)</v>
      </c>
      <c r="K364" s="93" t="e">
        <f>SUM(K359*1.2)</f>
        <v>#REF!</v>
      </c>
      <c r="L364" s="94" t="str">
        <f>"(55)"</f>
        <v>(55)</v>
      </c>
      <c r="M364" s="130" t="e">
        <f>SUM(M359*1.22)</f>
        <v>#REF!</v>
      </c>
      <c r="N364" s="131" t="str">
        <f>"(55)"</f>
        <v>(55)</v>
      </c>
      <c r="O364" s="130" t="e">
        <f>SUM(O359*1.22)</f>
        <v>#REF!</v>
      </c>
      <c r="P364" s="96" t="str">
        <f>"(55)"</f>
        <v>(55)</v>
      </c>
    </row>
    <row r="365" spans="2:16" ht="16.5" x14ac:dyDescent="0.35">
      <c r="B365" s="187" t="e">
        <f>'kuni 2025 detsember tegevuskava'!#REF!&amp;"/"&amp;'kuni 2025 detsember tegevuskava'!#REF!</f>
        <v>#REF!</v>
      </c>
      <c r="C365" s="156" t="e">
        <f>'kuni 2025 detsember tegevuskava'!#REF!</f>
        <v>#REF!</v>
      </c>
      <c r="D365" s="156" t="e">
        <f>'kuni 2025 detsember tegevuskava'!#REF!</f>
        <v>#REF!</v>
      </c>
      <c r="E365" s="156" t="e">
        <f>'kuni 2025 detsember tegevuskava'!#REF!</f>
        <v>#REF!</v>
      </c>
      <c r="F365" s="156" t="e">
        <f>'kuni 2025 detsember tegevuskava'!#REF!&amp;"/"</f>
        <v>#REF!</v>
      </c>
      <c r="G365" s="156" t="e" cm="1">
        <f t="array" ref="G365">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365" s="194" t="e" cm="1">
        <f t="array" ref="H365">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365" s="132" t="e">
        <f>SUM(I366:I368)</f>
        <v>#REF!</v>
      </c>
      <c r="J365" s="133"/>
      <c r="K365" s="81" t="e">
        <f>SUM(K366:K368)</f>
        <v>#REF!</v>
      </c>
      <c r="L365" s="83"/>
      <c r="M365" s="132" t="e">
        <f>SUM(M366:M368)</f>
        <v>#REF!</v>
      </c>
      <c r="N365" s="133"/>
      <c r="O365" s="81" t="e">
        <f>SUM(O366:O368)</f>
        <v>#REF!</v>
      </c>
      <c r="P365" s="85"/>
    </row>
    <row r="366" spans="2:16" ht="16.5" x14ac:dyDescent="0.35">
      <c r="B366" s="145"/>
      <c r="C366" s="8"/>
      <c r="D366" s="8"/>
      <c r="E366" s="8"/>
      <c r="F366" s="8"/>
      <c r="G366" s="8"/>
      <c r="H366" s="192"/>
      <c r="I366" s="102" t="e">
        <f>SUM(K366+M366+O366)</f>
        <v>#REF!</v>
      </c>
      <c r="J366" s="103" t="str">
        <f>"(15)"</f>
        <v>(15)</v>
      </c>
      <c r="K366" s="97" t="e">
        <f>'kuni 2025 detsember tegevuskava'!#REF!</f>
        <v>#REF!</v>
      </c>
      <c r="L366" s="98" t="str">
        <f>"(15)"</f>
        <v>(15)</v>
      </c>
      <c r="M366" s="102" t="e">
        <f>'kuni 2025 detsember tegevuskava'!#REF!</f>
        <v>#REF!</v>
      </c>
      <c r="N366" s="103" t="str">
        <f>"(15)"</f>
        <v>(15)</v>
      </c>
      <c r="O366" s="97" t="e">
        <f>'kuni 2025 detsember tegevuskava'!#REF!</f>
        <v>#REF!</v>
      </c>
      <c r="P366" s="87" t="str">
        <f>"(15)"</f>
        <v>(15)</v>
      </c>
    </row>
    <row r="367" spans="2:16" ht="16.5" x14ac:dyDescent="0.35">
      <c r="B367" s="145"/>
      <c r="C367" s="8"/>
      <c r="D367" s="8"/>
      <c r="E367" s="8"/>
      <c r="F367" s="8"/>
      <c r="G367" s="8"/>
      <c r="H367" s="192"/>
      <c r="I367" s="102" t="e">
        <f>SUM(K367+M367+O367)</f>
        <v>#REF!</v>
      </c>
      <c r="J367" s="103" t="str">
        <f>"(50)"</f>
        <v>(50)</v>
      </c>
      <c r="K367" s="97" t="e">
        <f>'kuni 2025 detsember tegevuskava'!#REF!</f>
        <v>#REF!</v>
      </c>
      <c r="L367" s="98" t="str">
        <f>"(50)"</f>
        <v>(50)</v>
      </c>
      <c r="M367" s="102" t="e">
        <f>'kuni 2025 detsember tegevuskava'!#REF!</f>
        <v>#REF!</v>
      </c>
      <c r="N367" s="103" t="str">
        <f>"(50)"</f>
        <v>(50)</v>
      </c>
      <c r="O367" s="97" t="e">
        <f>'kuni 2025 detsember tegevuskava'!#REF!</f>
        <v>#REF!</v>
      </c>
      <c r="P367" s="87" t="str">
        <f>"(50)"</f>
        <v>(50)</v>
      </c>
    </row>
    <row r="368" spans="2:16" ht="16.5" x14ac:dyDescent="0.35">
      <c r="B368" s="145"/>
      <c r="C368" s="8"/>
      <c r="D368" s="8"/>
      <c r="E368" s="8"/>
      <c r="F368" s="8"/>
      <c r="G368" s="8"/>
      <c r="H368" s="192"/>
      <c r="I368" s="104" t="e">
        <f>SUM(K368+M368+O368)</f>
        <v>#REF!</v>
      </c>
      <c r="J368" s="105" t="str">
        <f>"(55)"</f>
        <v>(55)</v>
      </c>
      <c r="K368" s="99" t="e">
        <f>'kuni 2025 detsember tegevuskava'!#REF!</f>
        <v>#REF!</v>
      </c>
      <c r="L368" s="88" t="str">
        <f>"(55)"</f>
        <v>(55)</v>
      </c>
      <c r="M368" s="104" t="e">
        <f>'kuni 2025 detsember tegevuskava'!#REF!</f>
        <v>#REF!</v>
      </c>
      <c r="N368" s="105" t="str">
        <f>"(55)"</f>
        <v>(55)</v>
      </c>
      <c r="O368" s="99" t="e">
        <f>'kuni 2025 detsember tegevuskava'!#REF!</f>
        <v>#REF!</v>
      </c>
      <c r="P368" s="90" t="str">
        <f>"(55)"</f>
        <v>(55)</v>
      </c>
    </row>
    <row r="369" spans="2:16" ht="16.5" x14ac:dyDescent="0.35">
      <c r="B369" s="145"/>
      <c r="C369" s="8"/>
      <c r="D369" s="8"/>
      <c r="E369" s="8"/>
      <c r="F369" s="8"/>
      <c r="G369" s="8"/>
      <c r="H369" s="192"/>
      <c r="I369" s="151" t="s">
        <v>553</v>
      </c>
      <c r="J369" s="8"/>
      <c r="K369" s="8"/>
      <c r="L369" s="8"/>
      <c r="M369" s="8"/>
      <c r="N369" s="8"/>
      <c r="O369" s="8"/>
      <c r="P369" s="159"/>
    </row>
    <row r="370" spans="2:16" ht="16.5" x14ac:dyDescent="0.35">
      <c r="B370" s="145"/>
      <c r="C370" s="8"/>
      <c r="D370" s="8"/>
      <c r="E370" s="8"/>
      <c r="F370" s="8"/>
      <c r="G370" s="8"/>
      <c r="H370" s="192"/>
      <c r="I370" s="100" t="e">
        <f>SUM(I371:I373)</f>
        <v>#REF!</v>
      </c>
      <c r="J370" s="101"/>
      <c r="K370" s="91" t="e">
        <f>SUM(K371:K373)</f>
        <v>#REF!</v>
      </c>
      <c r="L370" s="92"/>
      <c r="M370" s="100" t="e">
        <f>SUM(M371:M373)</f>
        <v>#REF!</v>
      </c>
      <c r="N370" s="106"/>
      <c r="O370" s="100" t="e">
        <f>SUM(O371:O373)</f>
        <v>#REF!</v>
      </c>
      <c r="P370" s="134"/>
    </row>
    <row r="371" spans="2:16" ht="16.5" x14ac:dyDescent="0.35">
      <c r="B371" s="145"/>
      <c r="C371" s="8"/>
      <c r="D371" s="8"/>
      <c r="E371" s="8"/>
      <c r="F371" s="8"/>
      <c r="G371" s="8"/>
      <c r="H371" s="192"/>
      <c r="I371" s="102" t="e">
        <f>SUM(K371+M371+O371)</f>
        <v>#REF!</v>
      </c>
      <c r="J371" s="103" t="str">
        <f>"(15)"</f>
        <v>(15)</v>
      </c>
      <c r="K371" s="97" t="e">
        <f>SUM(K366*1.2)</f>
        <v>#REF!</v>
      </c>
      <c r="L371" s="98" t="str">
        <f>"(15)"</f>
        <v>(15)</v>
      </c>
      <c r="M371" s="102" t="e">
        <f>SUM(M366*1.22)</f>
        <v>#REF!</v>
      </c>
      <c r="N371" s="103" t="str">
        <f>"(15)"</f>
        <v>(15)</v>
      </c>
      <c r="O371" s="102" t="e">
        <f>SUM(O366*1.22)</f>
        <v>#REF!</v>
      </c>
      <c r="P371" s="87" t="str">
        <f>"(15)"</f>
        <v>(15)</v>
      </c>
    </row>
    <row r="372" spans="2:16" ht="16.5" x14ac:dyDescent="0.35">
      <c r="B372" s="145"/>
      <c r="C372" s="8"/>
      <c r="D372" s="8"/>
      <c r="E372" s="8"/>
      <c r="F372" s="8"/>
      <c r="G372" s="8"/>
      <c r="H372" s="192"/>
      <c r="I372" s="102" t="e">
        <f>SUM(K372+M372+O372)</f>
        <v>#REF!</v>
      </c>
      <c r="J372" s="103" t="str">
        <f>"(50)"</f>
        <v>(50)</v>
      </c>
      <c r="K372" s="97" t="e">
        <f>K367</f>
        <v>#REF!</v>
      </c>
      <c r="L372" s="98" t="str">
        <f>"(50)"</f>
        <v>(50)</v>
      </c>
      <c r="M372" s="102" t="e">
        <f>M367</f>
        <v>#REF!</v>
      </c>
      <c r="N372" s="103" t="str">
        <f>"(50)"</f>
        <v>(50)</v>
      </c>
      <c r="O372" s="102" t="e">
        <f>O367</f>
        <v>#REF!</v>
      </c>
      <c r="P372" s="87" t="str">
        <f>"(50)"</f>
        <v>(50)</v>
      </c>
    </row>
    <row r="373" spans="2:16" ht="17" thickBot="1" x14ac:dyDescent="0.4">
      <c r="B373" s="160"/>
      <c r="C373" s="161"/>
      <c r="D373" s="161"/>
      <c r="E373" s="161"/>
      <c r="F373" s="161"/>
      <c r="G373" s="161"/>
      <c r="H373" s="193"/>
      <c r="I373" s="130" t="e">
        <f>SUM(K373+M373+O373)</f>
        <v>#REF!</v>
      </c>
      <c r="J373" s="131" t="str">
        <f>"(55)"</f>
        <v>(55)</v>
      </c>
      <c r="K373" s="93" t="e">
        <f>SUM(K368*1.2)</f>
        <v>#REF!</v>
      </c>
      <c r="L373" s="94" t="str">
        <f>"(55)"</f>
        <v>(55)</v>
      </c>
      <c r="M373" s="130" t="e">
        <f>SUM(M368*1.22)</f>
        <v>#REF!</v>
      </c>
      <c r="N373" s="131" t="str">
        <f>"(55)"</f>
        <v>(55)</v>
      </c>
      <c r="O373" s="130" t="e">
        <f>SUM(O368*1.22)</f>
        <v>#REF!</v>
      </c>
      <c r="P373" s="96" t="str">
        <f>"(55)"</f>
        <v>(55)</v>
      </c>
    </row>
    <row r="374" spans="2:16" ht="16.5" x14ac:dyDescent="0.35">
      <c r="B374" s="187">
        <v>9</v>
      </c>
      <c r="C374" s="156" t="e">
        <f>'kuni 2025 detsember tegevuskava'!#REF!</f>
        <v>#REF!</v>
      </c>
      <c r="D374" s="156" t="e">
        <f>'kuni 2025 detsember tegevuskava'!#REF!</f>
        <v>#REF!</v>
      </c>
      <c r="E374" s="156" t="e">
        <f>'kuni 2025 detsember tegevuskava'!#REF!</f>
        <v>#REF!</v>
      </c>
      <c r="F374" s="156" t="e">
        <f>'kuni 2025 detsember tegevuskava'!#REF!&amp;"/"</f>
        <v>#REF!</v>
      </c>
      <c r="G374" s="156" t="e" cm="1">
        <f t="array" ref="G374">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374" s="194" t="e" cm="1">
        <f t="array" ref="H374">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374" s="132" t="e">
        <f>SUM(I375:I377)</f>
        <v>#REF!</v>
      </c>
      <c r="J374" s="133"/>
      <c r="K374" s="81" t="e">
        <f>SUM(K375:K377)</f>
        <v>#REF!</v>
      </c>
      <c r="L374" s="83"/>
      <c r="M374" s="132" t="e">
        <f>SUM(M375:M377)</f>
        <v>#REF!</v>
      </c>
      <c r="N374" s="133"/>
      <c r="O374" s="81" t="e">
        <f>SUM(O375:O377)</f>
        <v>#REF!</v>
      </c>
      <c r="P374" s="85"/>
    </row>
    <row r="375" spans="2:16" ht="16.5" x14ac:dyDescent="0.35">
      <c r="B375" s="145"/>
      <c r="C375" s="8"/>
      <c r="D375" s="8"/>
      <c r="E375" s="8"/>
      <c r="F375" s="8"/>
      <c r="G375" s="8"/>
      <c r="H375" s="192"/>
      <c r="I375" s="102" t="e">
        <f>SUM(K375+M375+O375)</f>
        <v>#REF!</v>
      </c>
      <c r="J375" s="103" t="str">
        <f>"(15)"</f>
        <v>(15)</v>
      </c>
      <c r="K375" s="97" t="e">
        <f>'kuni 2025 detsember tegevuskava'!#REF!</f>
        <v>#REF!</v>
      </c>
      <c r="L375" s="98" t="str">
        <f>"(15)"</f>
        <v>(15)</v>
      </c>
      <c r="M375" s="102" t="e">
        <f>'kuni 2025 detsember tegevuskava'!#REF!</f>
        <v>#REF!</v>
      </c>
      <c r="N375" s="103" t="str">
        <f>"(15)"</f>
        <v>(15)</v>
      </c>
      <c r="O375" s="97" t="e">
        <f>'kuni 2025 detsember tegevuskava'!#REF!</f>
        <v>#REF!</v>
      </c>
      <c r="P375" s="87" t="str">
        <f>"(15)"</f>
        <v>(15)</v>
      </c>
    </row>
    <row r="376" spans="2:16" ht="16.5" x14ac:dyDescent="0.35">
      <c r="B376" s="145"/>
      <c r="C376" s="8"/>
      <c r="D376" s="8"/>
      <c r="E376" s="8"/>
      <c r="F376" s="8"/>
      <c r="G376" s="8"/>
      <c r="H376" s="192"/>
      <c r="I376" s="102" t="e">
        <f>SUM(K376+M376+O376)</f>
        <v>#REF!</v>
      </c>
      <c r="J376" s="103" t="str">
        <f>"(50)"</f>
        <v>(50)</v>
      </c>
      <c r="K376" s="97" t="e">
        <f>'kuni 2025 detsember tegevuskava'!#REF!</f>
        <v>#REF!</v>
      </c>
      <c r="L376" s="98" t="str">
        <f>"(50)"</f>
        <v>(50)</v>
      </c>
      <c r="M376" s="102" t="e">
        <f>'kuni 2025 detsember tegevuskava'!#REF!</f>
        <v>#REF!</v>
      </c>
      <c r="N376" s="103" t="str">
        <f>"(50)"</f>
        <v>(50)</v>
      </c>
      <c r="O376" s="97" t="e">
        <f>'kuni 2025 detsember tegevuskava'!#REF!</f>
        <v>#REF!</v>
      </c>
      <c r="P376" s="87" t="str">
        <f>"(50)"</f>
        <v>(50)</v>
      </c>
    </row>
    <row r="377" spans="2:16" ht="16.5" x14ac:dyDescent="0.35">
      <c r="B377" s="145"/>
      <c r="C377" s="8"/>
      <c r="D377" s="8"/>
      <c r="E377" s="8"/>
      <c r="F377" s="8"/>
      <c r="G377" s="8"/>
      <c r="H377" s="192"/>
      <c r="I377" s="104" t="e">
        <f>SUM(K377+M377+O377)</f>
        <v>#REF!</v>
      </c>
      <c r="J377" s="105" t="str">
        <f>"(55)"</f>
        <v>(55)</v>
      </c>
      <c r="K377" s="99" t="e">
        <f>'kuni 2025 detsember tegevuskava'!#REF!</f>
        <v>#REF!</v>
      </c>
      <c r="L377" s="88" t="str">
        <f>"(55)"</f>
        <v>(55)</v>
      </c>
      <c r="M377" s="104" t="e">
        <f>'kuni 2025 detsember tegevuskava'!#REF!</f>
        <v>#REF!</v>
      </c>
      <c r="N377" s="105" t="str">
        <f>"(55)"</f>
        <v>(55)</v>
      </c>
      <c r="O377" s="99" t="e">
        <f>'kuni 2025 detsember tegevuskava'!#REF!</f>
        <v>#REF!</v>
      </c>
      <c r="P377" s="90" t="str">
        <f>"(55)"</f>
        <v>(55)</v>
      </c>
    </row>
    <row r="378" spans="2:16" ht="16.5" x14ac:dyDescent="0.35">
      <c r="B378" s="145"/>
      <c r="C378" s="8"/>
      <c r="D378" s="8"/>
      <c r="E378" s="8"/>
      <c r="F378" s="8"/>
      <c r="G378" s="8"/>
      <c r="H378" s="192"/>
      <c r="I378" s="151" t="s">
        <v>553</v>
      </c>
      <c r="J378" s="8"/>
      <c r="K378" s="8"/>
      <c r="L378" s="8"/>
      <c r="M378" s="8"/>
      <c r="N378" s="8"/>
      <c r="O378" s="8"/>
      <c r="P378" s="159"/>
    </row>
    <row r="379" spans="2:16" ht="16.5" x14ac:dyDescent="0.35">
      <c r="B379" s="145"/>
      <c r="C379" s="8"/>
      <c r="D379" s="8"/>
      <c r="E379" s="8"/>
      <c r="F379" s="8"/>
      <c r="G379" s="8"/>
      <c r="H379" s="192"/>
      <c r="I379" s="100" t="e">
        <f>SUM(I380:I382)</f>
        <v>#REF!</v>
      </c>
      <c r="J379" s="101"/>
      <c r="K379" s="91" t="e">
        <f>SUM(K380:K382)</f>
        <v>#REF!</v>
      </c>
      <c r="L379" s="92"/>
      <c r="M379" s="100" t="e">
        <f>SUM(M380:M382)</f>
        <v>#REF!</v>
      </c>
      <c r="N379" s="106"/>
      <c r="O379" s="100" t="e">
        <f>SUM(O380:O382)</f>
        <v>#REF!</v>
      </c>
      <c r="P379" s="134"/>
    </row>
    <row r="380" spans="2:16" ht="16.5" x14ac:dyDescent="0.35">
      <c r="B380" s="145"/>
      <c r="C380" s="8"/>
      <c r="D380" s="8"/>
      <c r="E380" s="8"/>
      <c r="F380" s="8"/>
      <c r="G380" s="8"/>
      <c r="H380" s="192"/>
      <c r="I380" s="102" t="e">
        <f>SUM(K380+M380+O380)</f>
        <v>#REF!</v>
      </c>
      <c r="J380" s="103" t="str">
        <f>"(15)"</f>
        <v>(15)</v>
      </c>
      <c r="K380" s="97" t="e">
        <f>SUM(K375*1.2)</f>
        <v>#REF!</v>
      </c>
      <c r="L380" s="98" t="str">
        <f>"(15)"</f>
        <v>(15)</v>
      </c>
      <c r="M380" s="102" t="e">
        <f>SUM(M375*1.22)</f>
        <v>#REF!</v>
      </c>
      <c r="N380" s="103" t="str">
        <f>"(15)"</f>
        <v>(15)</v>
      </c>
      <c r="O380" s="102" t="e">
        <f>SUM(O375*1.22)</f>
        <v>#REF!</v>
      </c>
      <c r="P380" s="87" t="str">
        <f>"(15)"</f>
        <v>(15)</v>
      </c>
    </row>
    <row r="381" spans="2:16" ht="16.5" x14ac:dyDescent="0.35">
      <c r="B381" s="145"/>
      <c r="C381" s="8"/>
      <c r="D381" s="8"/>
      <c r="E381" s="8"/>
      <c r="F381" s="8"/>
      <c r="G381" s="8"/>
      <c r="H381" s="192"/>
      <c r="I381" s="102" t="e">
        <f>SUM(K381+M381+O381)</f>
        <v>#REF!</v>
      </c>
      <c r="J381" s="103" t="str">
        <f>"(50)"</f>
        <v>(50)</v>
      </c>
      <c r="K381" s="97" t="e">
        <f>K376</f>
        <v>#REF!</v>
      </c>
      <c r="L381" s="98" t="str">
        <f>"(50)"</f>
        <v>(50)</v>
      </c>
      <c r="M381" s="102" t="e">
        <f>M376</f>
        <v>#REF!</v>
      </c>
      <c r="N381" s="103" t="str">
        <f>"(50)"</f>
        <v>(50)</v>
      </c>
      <c r="O381" s="102" t="e">
        <f>O376</f>
        <v>#REF!</v>
      </c>
      <c r="P381" s="87" t="str">
        <f>"(50)"</f>
        <v>(50)</v>
      </c>
    </row>
    <row r="382" spans="2:16" ht="17" thickBot="1" x14ac:dyDescent="0.4">
      <c r="B382" s="160"/>
      <c r="C382" s="161"/>
      <c r="D382" s="161"/>
      <c r="E382" s="161"/>
      <c r="F382" s="161"/>
      <c r="G382" s="161"/>
      <c r="H382" s="193"/>
      <c r="I382" s="130" t="e">
        <f>SUM(K382+M382+O382)</f>
        <v>#REF!</v>
      </c>
      <c r="J382" s="131" t="str">
        <f>"(55)"</f>
        <v>(55)</v>
      </c>
      <c r="K382" s="93" t="e">
        <f>SUM(K377*1.2)</f>
        <v>#REF!</v>
      </c>
      <c r="L382" s="94" t="str">
        <f>"(55)"</f>
        <v>(55)</v>
      </c>
      <c r="M382" s="130" t="e">
        <f>SUM(M377*1.22)</f>
        <v>#REF!</v>
      </c>
      <c r="N382" s="131" t="str">
        <f>"(55)"</f>
        <v>(55)</v>
      </c>
      <c r="O382" s="130" t="e">
        <f>SUM(O377*1.22)</f>
        <v>#REF!</v>
      </c>
      <c r="P382" s="96" t="str">
        <f>"(55)"</f>
        <v>(55)</v>
      </c>
    </row>
    <row r="383" spans="2:16" ht="16.5" x14ac:dyDescent="0.35">
      <c r="B383" s="187" t="str">
        <f>'kuni 2025 detsember tegevuskava'!A47&amp;"/"&amp;'kuni 2025 detsember tegevuskava'!C47</f>
        <v>Sotsiaalministeerium / TEHIK/Terviseamet/</v>
      </c>
      <c r="C383" s="156" t="str">
        <f>'kuni 2025 detsember tegevuskava'!I47</f>
        <v>Rahulolu mõõtmine (kasutajad, ametid, kodanikud jne)</v>
      </c>
      <c r="D383" s="156" t="str">
        <f>'kuni 2025 detsember tegevuskava'!J47</f>
        <v>Terviseteadlik kodanik/ Keskkonnatervise infosüsteem</v>
      </c>
      <c r="E383" s="156" t="str">
        <f>'kuni 2025 detsember tegevuskava'!K47</f>
        <v>2026 ja 2029</v>
      </c>
      <c r="F383" s="156" t="str">
        <f>'kuni 2025 detsember tegevuskava'!O47&amp;"/"</f>
        <v>SF 21-27 (taotletav raha)/</v>
      </c>
      <c r="G383" s="156" cm="1">
        <f t="array" ref="G383">_xlfn.IFS('kuni 2025 detsember tegevuskava'!G47='kuni 2025 detsember tegevuskava'!$G$77,1,'kuni 2025 detsember tegevuskava'!G47='kuni 2025 detsember tegevuskava'!$G$78,2,'kuni 2025 detsember tegevuskava'!G47='kuni 2025 detsember tegevuskava'!$G$79,3,'kuni 2025 detsember tegevuskava'!G47='kuni 2025 detsember tegevuskava'!$G$80,4)</f>
        <v>3</v>
      </c>
      <c r="H383" s="194" cm="1">
        <f t="array" ref="H383">_xlfn.IFS(OR('kuni 2025 detsember tegevuskava'!O47='kuni 2025 detsember tegevuskava'!$O$77,'kuni 2025 detsember tegevuskava'!O47='kuni 2025 detsember tegevuskava'!$O$79,'kuni 2025 detsember tegevuskava'!O47='kuni 2025 detsember tegevuskava'!$O$80,'kuni 2025 detsember tegevuskava'!O47='kuni 2025 detsember tegevuskava'!$O$81),1,'kuni 2025 detsember tegevuskava'!O47='kuni 2025 detsember tegevuskava'!$O$82,2,'kuni 2025 detsember tegevuskava'!O47='kuni 2025 detsember tegevuskava'!$O$83,2,'kuni 2025 detsember tegevuskava'!O47='kuni 2025 detsember tegevuskava'!$O$78,3)</f>
        <v>2</v>
      </c>
      <c r="I383" s="132">
        <f>SUM(I384:I386)</f>
        <v>0</v>
      </c>
      <c r="J383" s="133"/>
      <c r="K383" s="81">
        <f>SUM(K384:K386)</f>
        <v>0</v>
      </c>
      <c r="L383" s="83"/>
      <c r="M383" s="132">
        <f>SUM(M384:M386)</f>
        <v>0</v>
      </c>
      <c r="N383" s="133"/>
      <c r="O383" s="81">
        <f>SUM(O384:O386)</f>
        <v>0</v>
      </c>
      <c r="P383" s="85"/>
    </row>
    <row r="384" spans="2:16" ht="16.5" x14ac:dyDescent="0.35">
      <c r="B384" s="145"/>
      <c r="C384" s="8"/>
      <c r="D384" s="8"/>
      <c r="E384" s="8"/>
      <c r="F384" s="8"/>
      <c r="G384" s="8"/>
      <c r="H384" s="192"/>
      <c r="I384" s="102">
        <f>SUM(K384+M384+O384)</f>
        <v>0</v>
      </c>
      <c r="J384" s="103" t="str">
        <f>"(15)"</f>
        <v>(15)</v>
      </c>
      <c r="K384" s="97">
        <f>'kuni 2025 detsember tegevuskava'!W47</f>
        <v>0</v>
      </c>
      <c r="L384" s="98" t="str">
        <f>"(15)"</f>
        <v>(15)</v>
      </c>
      <c r="M384" s="102">
        <f>'kuni 2025 detsember tegevuskava'!Z47</f>
        <v>0</v>
      </c>
      <c r="N384" s="103" t="str">
        <f>"(15)"</f>
        <v>(15)</v>
      </c>
      <c r="O384" s="97">
        <f>'kuni 2025 detsember tegevuskava'!AC47</f>
        <v>0</v>
      </c>
      <c r="P384" s="87" t="str">
        <f>"(15)"</f>
        <v>(15)</v>
      </c>
    </row>
    <row r="385" spans="2:16" ht="16.5" x14ac:dyDescent="0.35">
      <c r="B385" s="145"/>
      <c r="C385" s="8"/>
      <c r="D385" s="8"/>
      <c r="E385" s="8"/>
      <c r="F385" s="8"/>
      <c r="G385" s="8"/>
      <c r="H385" s="192"/>
      <c r="I385" s="102">
        <f>SUM(K385+M385+O385)</f>
        <v>0</v>
      </c>
      <c r="J385" s="103" t="str">
        <f>"(50)"</f>
        <v>(50)</v>
      </c>
      <c r="K385" s="97">
        <f>'kuni 2025 detsember tegevuskava'!X47</f>
        <v>0</v>
      </c>
      <c r="L385" s="98" t="str">
        <f>"(50)"</f>
        <v>(50)</v>
      </c>
      <c r="M385" s="102">
        <f>'kuni 2025 detsember tegevuskava'!AA47</f>
        <v>0</v>
      </c>
      <c r="N385" s="103" t="str">
        <f>"(50)"</f>
        <v>(50)</v>
      </c>
      <c r="O385" s="97">
        <f>'kuni 2025 detsember tegevuskava'!AD47</f>
        <v>0</v>
      </c>
      <c r="P385" s="87" t="str">
        <f>"(50)"</f>
        <v>(50)</v>
      </c>
    </row>
    <row r="386" spans="2:16" ht="16.5" x14ac:dyDescent="0.35">
      <c r="B386" s="145"/>
      <c r="C386" s="8"/>
      <c r="D386" s="8"/>
      <c r="E386" s="8"/>
      <c r="F386" s="8"/>
      <c r="G386" s="8"/>
      <c r="H386" s="192"/>
      <c r="I386" s="104">
        <f>SUM(K386+M386+O386)</f>
        <v>0</v>
      </c>
      <c r="J386" s="105" t="str">
        <f>"(55)"</f>
        <v>(55)</v>
      </c>
      <c r="K386" s="99">
        <f>'kuni 2025 detsember tegevuskava'!Y47</f>
        <v>0</v>
      </c>
      <c r="L386" s="88" t="str">
        <f>"(55)"</f>
        <v>(55)</v>
      </c>
      <c r="M386" s="104">
        <f>'kuni 2025 detsember tegevuskava'!AB47</f>
        <v>0</v>
      </c>
      <c r="N386" s="105" t="str">
        <f>"(55)"</f>
        <v>(55)</v>
      </c>
      <c r="O386" s="99">
        <f>'kuni 2025 detsember tegevuskava'!AE47</f>
        <v>0</v>
      </c>
      <c r="P386" s="90" t="str">
        <f>"(55)"</f>
        <v>(55)</v>
      </c>
    </row>
    <row r="387" spans="2:16" ht="16.5" x14ac:dyDescent="0.35">
      <c r="B387" s="145"/>
      <c r="C387" s="8"/>
      <c r="D387" s="8"/>
      <c r="E387" s="8"/>
      <c r="F387" s="8"/>
      <c r="G387" s="8"/>
      <c r="H387" s="192"/>
      <c r="I387" s="151" t="s">
        <v>553</v>
      </c>
      <c r="J387" s="8"/>
      <c r="K387" s="8"/>
      <c r="L387" s="8"/>
      <c r="M387" s="8"/>
      <c r="N387" s="8"/>
      <c r="O387" s="8"/>
      <c r="P387" s="159"/>
    </row>
    <row r="388" spans="2:16" ht="16.5" x14ac:dyDescent="0.35">
      <c r="B388" s="145"/>
      <c r="C388" s="8"/>
      <c r="D388" s="8"/>
      <c r="E388" s="8"/>
      <c r="F388" s="8"/>
      <c r="G388" s="8"/>
      <c r="H388" s="192"/>
      <c r="I388" s="100">
        <f>SUM(I389:I391)</f>
        <v>0</v>
      </c>
      <c r="J388" s="101"/>
      <c r="K388" s="91">
        <f>SUM(K389:K391)</f>
        <v>0</v>
      </c>
      <c r="L388" s="92"/>
      <c r="M388" s="100">
        <f>SUM(M389:M391)</f>
        <v>0</v>
      </c>
      <c r="N388" s="106"/>
      <c r="O388" s="100">
        <f>SUM(O389:O391)</f>
        <v>0</v>
      </c>
      <c r="P388" s="134"/>
    </row>
    <row r="389" spans="2:16" ht="16.5" x14ac:dyDescent="0.35">
      <c r="B389" s="145"/>
      <c r="C389" s="8"/>
      <c r="D389" s="8"/>
      <c r="E389" s="8"/>
      <c r="F389" s="8"/>
      <c r="G389" s="8"/>
      <c r="H389" s="192"/>
      <c r="I389" s="102">
        <f>SUM(K389+M389+O389)</f>
        <v>0</v>
      </c>
      <c r="J389" s="103" t="str">
        <f>"(15)"</f>
        <v>(15)</v>
      </c>
      <c r="K389" s="97">
        <f>SUM(K384*1.2)</f>
        <v>0</v>
      </c>
      <c r="L389" s="98" t="str">
        <f>"(15)"</f>
        <v>(15)</v>
      </c>
      <c r="M389" s="102">
        <f>SUM(M384*1.22)</f>
        <v>0</v>
      </c>
      <c r="N389" s="103" t="str">
        <f>"(15)"</f>
        <v>(15)</v>
      </c>
      <c r="O389" s="102">
        <f>SUM(O384*1.22)</f>
        <v>0</v>
      </c>
      <c r="P389" s="87" t="str">
        <f>"(15)"</f>
        <v>(15)</v>
      </c>
    </row>
    <row r="390" spans="2:16" ht="16.5" x14ac:dyDescent="0.35">
      <c r="B390" s="145"/>
      <c r="C390" s="8"/>
      <c r="D390" s="8"/>
      <c r="E390" s="8"/>
      <c r="F390" s="8"/>
      <c r="G390" s="8"/>
      <c r="H390" s="192"/>
      <c r="I390" s="102">
        <f>SUM(K390+M390+O390)</f>
        <v>0</v>
      </c>
      <c r="J390" s="103" t="str">
        <f>"(50)"</f>
        <v>(50)</v>
      </c>
      <c r="K390" s="97">
        <f>K385</f>
        <v>0</v>
      </c>
      <c r="L390" s="98" t="str">
        <f>"(50)"</f>
        <v>(50)</v>
      </c>
      <c r="M390" s="102">
        <f>M385</f>
        <v>0</v>
      </c>
      <c r="N390" s="103" t="str">
        <f>"(50)"</f>
        <v>(50)</v>
      </c>
      <c r="O390" s="102">
        <f>O385</f>
        <v>0</v>
      </c>
      <c r="P390" s="87" t="str">
        <f>"(50)"</f>
        <v>(50)</v>
      </c>
    </row>
    <row r="391" spans="2:16" ht="17" thickBot="1" x14ac:dyDescent="0.4">
      <c r="B391" s="160"/>
      <c r="C391" s="161"/>
      <c r="D391" s="161"/>
      <c r="E391" s="161"/>
      <c r="F391" s="161"/>
      <c r="G391" s="161"/>
      <c r="H391" s="193"/>
      <c r="I391" s="130">
        <f>SUM(K391+M391+O391)</f>
        <v>0</v>
      </c>
      <c r="J391" s="131" t="str">
        <f>"(55)"</f>
        <v>(55)</v>
      </c>
      <c r="K391" s="93">
        <f>SUM(K386*1.2)</f>
        <v>0</v>
      </c>
      <c r="L391" s="94" t="str">
        <f>"(55)"</f>
        <v>(55)</v>
      </c>
      <c r="M391" s="130">
        <f>SUM(M386*1.22)</f>
        <v>0</v>
      </c>
      <c r="N391" s="131" t="str">
        <f>"(55)"</f>
        <v>(55)</v>
      </c>
      <c r="O391" s="130">
        <f>SUM(O386*1.22)</f>
        <v>0</v>
      </c>
      <c r="P391" s="96" t="str">
        <f>"(55)"</f>
        <v>(55)</v>
      </c>
    </row>
    <row r="392" spans="2:16" ht="16.5" x14ac:dyDescent="0.35">
      <c r="B392" s="187" t="e">
        <f>'kuni 2025 detsember tegevuskava'!#REF!&amp;"/"&amp;'kuni 2025 detsember tegevuskava'!#REF!</f>
        <v>#REF!</v>
      </c>
      <c r="C392" s="156" t="e">
        <f>'kuni 2025 detsember tegevuskava'!#REF!</f>
        <v>#REF!</v>
      </c>
      <c r="D392" s="156" t="e">
        <f>'kuni 2025 detsember tegevuskava'!#REF!</f>
        <v>#REF!</v>
      </c>
      <c r="E392" s="156" t="e">
        <f>'kuni 2025 detsember tegevuskava'!#REF!</f>
        <v>#REF!</v>
      </c>
      <c r="F392" s="156" t="e">
        <f>'kuni 2025 detsember tegevuskava'!#REF!&amp;"/"</f>
        <v>#REF!</v>
      </c>
      <c r="G392" s="156" t="e" cm="1">
        <f t="array" ref="G392">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392" s="194" t="e" cm="1">
        <f t="array" ref="H392">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392" s="132" t="e">
        <f>SUM(I393:I395)</f>
        <v>#REF!</v>
      </c>
      <c r="J392" s="133"/>
      <c r="K392" s="81" t="e">
        <f>SUM(K393:K395)</f>
        <v>#REF!</v>
      </c>
      <c r="L392" s="83"/>
      <c r="M392" s="132" t="e">
        <f>SUM(M393:M395)</f>
        <v>#REF!</v>
      </c>
      <c r="N392" s="133"/>
      <c r="O392" s="81" t="e">
        <f>SUM(O393:O395)</f>
        <v>#REF!</v>
      </c>
      <c r="P392" s="85"/>
    </row>
    <row r="393" spans="2:16" ht="16.5" x14ac:dyDescent="0.35">
      <c r="B393" s="145"/>
      <c r="C393" s="8"/>
      <c r="D393" s="8"/>
      <c r="E393" s="8"/>
      <c r="F393" s="8"/>
      <c r="G393" s="8"/>
      <c r="H393" s="192"/>
      <c r="I393" s="102" t="e">
        <f>SUM(K393+M393+O393)</f>
        <v>#REF!</v>
      </c>
      <c r="J393" s="103" t="str">
        <f>"(15)"</f>
        <v>(15)</v>
      </c>
      <c r="K393" s="97" t="e">
        <f>'kuni 2025 detsember tegevuskava'!#REF!</f>
        <v>#REF!</v>
      </c>
      <c r="L393" s="98" t="str">
        <f>"(15)"</f>
        <v>(15)</v>
      </c>
      <c r="M393" s="102" t="e">
        <f>'kuni 2025 detsember tegevuskava'!#REF!</f>
        <v>#REF!</v>
      </c>
      <c r="N393" s="103" t="str">
        <f>"(15)"</f>
        <v>(15)</v>
      </c>
      <c r="O393" s="97" t="e">
        <f>'kuni 2025 detsember tegevuskava'!#REF!</f>
        <v>#REF!</v>
      </c>
      <c r="P393" s="87" t="str">
        <f>"(15)"</f>
        <v>(15)</v>
      </c>
    </row>
    <row r="394" spans="2:16" ht="16.5" x14ac:dyDescent="0.35">
      <c r="B394" s="145"/>
      <c r="C394" s="8"/>
      <c r="D394" s="8"/>
      <c r="E394" s="8"/>
      <c r="F394" s="8"/>
      <c r="G394" s="8"/>
      <c r="H394" s="192"/>
      <c r="I394" s="102" t="e">
        <f>SUM(K394+M394+O394)</f>
        <v>#REF!</v>
      </c>
      <c r="J394" s="103" t="str">
        <f>"(50)"</f>
        <v>(50)</v>
      </c>
      <c r="K394" s="97" t="e">
        <f>'kuni 2025 detsember tegevuskava'!#REF!</f>
        <v>#REF!</v>
      </c>
      <c r="L394" s="98" t="str">
        <f>"(50)"</f>
        <v>(50)</v>
      </c>
      <c r="M394" s="102" t="e">
        <f>'kuni 2025 detsember tegevuskava'!#REF!</f>
        <v>#REF!</v>
      </c>
      <c r="N394" s="103" t="str">
        <f>"(50)"</f>
        <v>(50)</v>
      </c>
      <c r="O394" s="97" t="e">
        <f>'kuni 2025 detsember tegevuskava'!#REF!</f>
        <v>#REF!</v>
      </c>
      <c r="P394" s="87" t="str">
        <f>"(50)"</f>
        <v>(50)</v>
      </c>
    </row>
    <row r="395" spans="2:16" ht="16.5" x14ac:dyDescent="0.35">
      <c r="B395" s="145"/>
      <c r="C395" s="8"/>
      <c r="D395" s="8"/>
      <c r="E395" s="8"/>
      <c r="F395" s="8"/>
      <c r="G395" s="8"/>
      <c r="H395" s="192"/>
      <c r="I395" s="104" t="e">
        <f>SUM(K395+M395+O395)</f>
        <v>#REF!</v>
      </c>
      <c r="J395" s="105" t="str">
        <f>"(55)"</f>
        <v>(55)</v>
      </c>
      <c r="K395" s="99" t="e">
        <f>'kuni 2025 detsember tegevuskava'!#REF!</f>
        <v>#REF!</v>
      </c>
      <c r="L395" s="88" t="str">
        <f>"(55)"</f>
        <v>(55)</v>
      </c>
      <c r="M395" s="104" t="e">
        <f>'kuni 2025 detsember tegevuskava'!#REF!</f>
        <v>#REF!</v>
      </c>
      <c r="N395" s="105" t="str">
        <f>"(55)"</f>
        <v>(55)</v>
      </c>
      <c r="O395" s="99" t="e">
        <f>'kuni 2025 detsember tegevuskava'!#REF!</f>
        <v>#REF!</v>
      </c>
      <c r="P395" s="90" t="str">
        <f>"(55)"</f>
        <v>(55)</v>
      </c>
    </row>
    <row r="396" spans="2:16" ht="16.5" x14ac:dyDescent="0.35">
      <c r="B396" s="145"/>
      <c r="C396" s="8"/>
      <c r="D396" s="8"/>
      <c r="E396" s="8"/>
      <c r="F396" s="8"/>
      <c r="G396" s="8"/>
      <c r="H396" s="192"/>
      <c r="I396" s="151" t="s">
        <v>553</v>
      </c>
      <c r="J396" s="8"/>
      <c r="K396" s="8"/>
      <c r="L396" s="8"/>
      <c r="M396" s="8"/>
      <c r="N396" s="8"/>
      <c r="O396" s="8"/>
      <c r="P396" s="159"/>
    </row>
    <row r="397" spans="2:16" ht="16.5" x14ac:dyDescent="0.35">
      <c r="B397" s="145"/>
      <c r="C397" s="8"/>
      <c r="D397" s="8"/>
      <c r="E397" s="8"/>
      <c r="F397" s="8"/>
      <c r="G397" s="8"/>
      <c r="H397" s="192"/>
      <c r="I397" s="100" t="e">
        <f>SUM(I398:I400)</f>
        <v>#REF!</v>
      </c>
      <c r="J397" s="101"/>
      <c r="K397" s="91" t="e">
        <f>SUM(K398:K400)</f>
        <v>#REF!</v>
      </c>
      <c r="L397" s="92"/>
      <c r="M397" s="100" t="e">
        <f>SUM(M398:M400)</f>
        <v>#REF!</v>
      </c>
      <c r="N397" s="106"/>
      <c r="O397" s="100" t="e">
        <f>SUM(O398:O400)</f>
        <v>#REF!</v>
      </c>
      <c r="P397" s="134"/>
    </row>
    <row r="398" spans="2:16" ht="16.5" x14ac:dyDescent="0.35">
      <c r="B398" s="145"/>
      <c r="C398" s="8"/>
      <c r="D398" s="8"/>
      <c r="E398" s="8"/>
      <c r="F398" s="8"/>
      <c r="G398" s="8"/>
      <c r="H398" s="192"/>
      <c r="I398" s="102" t="e">
        <f>SUM(K398+M398+O398)</f>
        <v>#REF!</v>
      </c>
      <c r="J398" s="103" t="str">
        <f>"(15)"</f>
        <v>(15)</v>
      </c>
      <c r="K398" s="97" t="e">
        <f>SUM(K393*1.2)</f>
        <v>#REF!</v>
      </c>
      <c r="L398" s="98" t="str">
        <f>"(15)"</f>
        <v>(15)</v>
      </c>
      <c r="M398" s="102" t="e">
        <f>SUM(M393*1.22)</f>
        <v>#REF!</v>
      </c>
      <c r="N398" s="103" t="str">
        <f>"(15)"</f>
        <v>(15)</v>
      </c>
      <c r="O398" s="102" t="e">
        <f>SUM(O393*1.22)</f>
        <v>#REF!</v>
      </c>
      <c r="P398" s="87" t="str">
        <f>"(15)"</f>
        <v>(15)</v>
      </c>
    </row>
    <row r="399" spans="2:16" ht="16.5" x14ac:dyDescent="0.35">
      <c r="B399" s="145"/>
      <c r="C399" s="8"/>
      <c r="D399" s="8"/>
      <c r="E399" s="8"/>
      <c r="F399" s="8"/>
      <c r="G399" s="8"/>
      <c r="H399" s="192"/>
      <c r="I399" s="102" t="e">
        <f>SUM(K399+M399+O399)</f>
        <v>#REF!</v>
      </c>
      <c r="J399" s="103" t="str">
        <f>"(50)"</f>
        <v>(50)</v>
      </c>
      <c r="K399" s="97" t="e">
        <f>K394</f>
        <v>#REF!</v>
      </c>
      <c r="L399" s="98" t="str">
        <f>"(50)"</f>
        <v>(50)</v>
      </c>
      <c r="M399" s="102" t="e">
        <f>M394</f>
        <v>#REF!</v>
      </c>
      <c r="N399" s="103" t="str">
        <f>"(50)"</f>
        <v>(50)</v>
      </c>
      <c r="O399" s="102" t="e">
        <f>O394</f>
        <v>#REF!</v>
      </c>
      <c r="P399" s="87" t="str">
        <f>"(50)"</f>
        <v>(50)</v>
      </c>
    </row>
    <row r="400" spans="2:16" ht="17" thickBot="1" x14ac:dyDescent="0.4">
      <c r="B400" s="160"/>
      <c r="C400" s="161"/>
      <c r="D400" s="161"/>
      <c r="E400" s="161"/>
      <c r="F400" s="161"/>
      <c r="G400" s="161"/>
      <c r="H400" s="193"/>
      <c r="I400" s="130" t="e">
        <f>SUM(K400+M400+O400)</f>
        <v>#REF!</v>
      </c>
      <c r="J400" s="131" t="str">
        <f>"(55)"</f>
        <v>(55)</v>
      </c>
      <c r="K400" s="93" t="e">
        <f>SUM(K395*1.2)</f>
        <v>#REF!</v>
      </c>
      <c r="L400" s="94" t="str">
        <f>"(55)"</f>
        <v>(55)</v>
      </c>
      <c r="M400" s="130" t="e">
        <f>SUM(M395*1.22)</f>
        <v>#REF!</v>
      </c>
      <c r="N400" s="131" t="str">
        <f>"(55)"</f>
        <v>(55)</v>
      </c>
      <c r="O400" s="130" t="e">
        <f>SUM(O395*1.22)</f>
        <v>#REF!</v>
      </c>
      <c r="P400" s="96" t="str">
        <f>"(55)"</f>
        <v>(55)</v>
      </c>
    </row>
    <row r="401" spans="2:16" ht="16.5" x14ac:dyDescent="0.35">
      <c r="B401" s="187" t="str">
        <f>'kuni 2025 detsember tegevuskava'!A48&amp;"/"&amp;'kuni 2025 detsember tegevuskava'!C48</f>
        <v>Sotsiaalministeerium / TEHIK/Terviseamet/</v>
      </c>
      <c r="C401" s="156" t="str">
        <f>'kuni 2025 detsember tegevuskava'!I48</f>
        <v>Jätkuarendused - 5G teemad, analüüs ning arendus</v>
      </c>
      <c r="D401" s="156" t="str">
        <f>'kuni 2025 detsember tegevuskava'!J48</f>
        <v>Terviseteadlik kodanik/ Keskkonnatervise infosüsteem</v>
      </c>
      <c r="E401" s="156">
        <f>'kuni 2025 detsember tegevuskava'!K48</f>
        <v>2027</v>
      </c>
      <c r="F401" s="156" t="str">
        <f>'kuni 2025 detsember tegevuskava'!O48&amp;"/"</f>
        <v>SF 21-27 (taotletav raha)/</v>
      </c>
      <c r="G401" s="156" cm="1">
        <f t="array" ref="G401">_xlfn.IFS('kuni 2025 detsember tegevuskava'!G48='kuni 2025 detsember tegevuskava'!$G$77,1,'kuni 2025 detsember tegevuskava'!G48='kuni 2025 detsember tegevuskava'!$G$78,2,'kuni 2025 detsember tegevuskava'!G48='kuni 2025 detsember tegevuskava'!$G$79,3,'kuni 2025 detsember tegevuskava'!G48='kuni 2025 detsember tegevuskava'!$G$80,4)</f>
        <v>1</v>
      </c>
      <c r="H401" s="194" cm="1">
        <f t="array" ref="H401">_xlfn.IFS(OR('kuni 2025 detsember tegevuskava'!O48='kuni 2025 detsember tegevuskava'!$O$77,'kuni 2025 detsember tegevuskava'!O48='kuni 2025 detsember tegevuskava'!$O$79,'kuni 2025 detsember tegevuskava'!O48='kuni 2025 detsember tegevuskava'!$O$80,'kuni 2025 detsember tegevuskava'!O48='kuni 2025 detsember tegevuskava'!$O$81),1,'kuni 2025 detsember tegevuskava'!O48='kuni 2025 detsember tegevuskava'!$O$82,2,'kuni 2025 detsember tegevuskava'!O48='kuni 2025 detsember tegevuskava'!$O$83,2,'kuni 2025 detsember tegevuskava'!O48='kuni 2025 detsember tegevuskava'!$O$78,3)</f>
        <v>2</v>
      </c>
      <c r="I401" s="132">
        <f>SUM(I402:I404)</f>
        <v>0</v>
      </c>
      <c r="J401" s="133"/>
      <c r="K401" s="81">
        <f>SUM(K402:K404)</f>
        <v>0</v>
      </c>
      <c r="L401" s="83"/>
      <c r="M401" s="132">
        <f>SUM(M402:M404)</f>
        <v>0</v>
      </c>
      <c r="N401" s="133"/>
      <c r="O401" s="81">
        <f>SUM(O402:O404)</f>
        <v>0</v>
      </c>
      <c r="P401" s="85"/>
    </row>
    <row r="402" spans="2:16" ht="16.5" x14ac:dyDescent="0.35">
      <c r="B402" s="145"/>
      <c r="C402" s="8"/>
      <c r="D402" s="8"/>
      <c r="E402" s="8"/>
      <c r="F402" s="8"/>
      <c r="G402" s="8"/>
      <c r="H402" s="192"/>
      <c r="I402" s="102">
        <f>SUM(K402+M402+O402)</f>
        <v>0</v>
      </c>
      <c r="J402" s="103" t="str">
        <f>"(15)"</f>
        <v>(15)</v>
      </c>
      <c r="K402" s="97">
        <f>'kuni 2025 detsember tegevuskava'!W48</f>
        <v>0</v>
      </c>
      <c r="L402" s="98" t="str">
        <f>"(15)"</f>
        <v>(15)</v>
      </c>
      <c r="M402" s="102">
        <f>'kuni 2025 detsember tegevuskava'!Z48</f>
        <v>0</v>
      </c>
      <c r="N402" s="103" t="str">
        <f>"(15)"</f>
        <v>(15)</v>
      </c>
      <c r="O402" s="97">
        <f>'kuni 2025 detsember tegevuskava'!AC48</f>
        <v>0</v>
      </c>
      <c r="P402" s="87" t="str">
        <f>"(15)"</f>
        <v>(15)</v>
      </c>
    </row>
    <row r="403" spans="2:16" ht="16.5" x14ac:dyDescent="0.35">
      <c r="B403" s="145"/>
      <c r="C403" s="8"/>
      <c r="D403" s="8"/>
      <c r="E403" s="8"/>
      <c r="F403" s="8"/>
      <c r="G403" s="8"/>
      <c r="H403" s="192"/>
      <c r="I403" s="102">
        <f>SUM(K403+M403+O403)</f>
        <v>0</v>
      </c>
      <c r="J403" s="103" t="str">
        <f>"(50)"</f>
        <v>(50)</v>
      </c>
      <c r="K403" s="97">
        <f>'kuni 2025 detsember tegevuskava'!X48</f>
        <v>0</v>
      </c>
      <c r="L403" s="98" t="str">
        <f>"(50)"</f>
        <v>(50)</v>
      </c>
      <c r="M403" s="102">
        <f>'kuni 2025 detsember tegevuskava'!AA48</f>
        <v>0</v>
      </c>
      <c r="N403" s="103" t="str">
        <f>"(50)"</f>
        <v>(50)</v>
      </c>
      <c r="O403" s="97">
        <f>'kuni 2025 detsember tegevuskava'!AD48</f>
        <v>0</v>
      </c>
      <c r="P403" s="87" t="str">
        <f>"(50)"</f>
        <v>(50)</v>
      </c>
    </row>
    <row r="404" spans="2:16" ht="16.5" x14ac:dyDescent="0.35">
      <c r="B404" s="145"/>
      <c r="C404" s="8"/>
      <c r="D404" s="8"/>
      <c r="E404" s="8"/>
      <c r="F404" s="8"/>
      <c r="G404" s="8"/>
      <c r="H404" s="192"/>
      <c r="I404" s="104">
        <f>SUM(K404+M404+O404)</f>
        <v>0</v>
      </c>
      <c r="J404" s="105" t="str">
        <f>"(55)"</f>
        <v>(55)</v>
      </c>
      <c r="K404" s="99">
        <f>'kuni 2025 detsember tegevuskava'!Y48</f>
        <v>0</v>
      </c>
      <c r="L404" s="88" t="str">
        <f>"(55)"</f>
        <v>(55)</v>
      </c>
      <c r="M404" s="104">
        <f>'kuni 2025 detsember tegevuskava'!AB48</f>
        <v>0</v>
      </c>
      <c r="N404" s="105" t="str">
        <f>"(55)"</f>
        <v>(55)</v>
      </c>
      <c r="O404" s="99">
        <f>'kuni 2025 detsember tegevuskava'!AE48</f>
        <v>0</v>
      </c>
      <c r="P404" s="90" t="str">
        <f>"(55)"</f>
        <v>(55)</v>
      </c>
    </row>
    <row r="405" spans="2:16" ht="16.5" x14ac:dyDescent="0.35">
      <c r="B405" s="145"/>
      <c r="C405" s="8"/>
      <c r="D405" s="8"/>
      <c r="E405" s="8"/>
      <c r="F405" s="8"/>
      <c r="G405" s="8"/>
      <c r="H405" s="192"/>
      <c r="I405" s="151" t="s">
        <v>553</v>
      </c>
      <c r="J405" s="8"/>
      <c r="K405" s="8"/>
      <c r="L405" s="8"/>
      <c r="M405" s="8"/>
      <c r="N405" s="8"/>
      <c r="O405" s="8"/>
      <c r="P405" s="159"/>
    </row>
    <row r="406" spans="2:16" ht="16.5" x14ac:dyDescent="0.35">
      <c r="B406" s="145"/>
      <c r="C406" s="8"/>
      <c r="D406" s="8"/>
      <c r="E406" s="8"/>
      <c r="F406" s="8"/>
      <c r="G406" s="8"/>
      <c r="H406" s="192"/>
      <c r="I406" s="100">
        <f>SUM(I407:I409)</f>
        <v>0</v>
      </c>
      <c r="J406" s="101"/>
      <c r="K406" s="91">
        <f>SUM(K407:K409)</f>
        <v>0</v>
      </c>
      <c r="L406" s="92"/>
      <c r="M406" s="100">
        <f>SUM(M407:M409)</f>
        <v>0</v>
      </c>
      <c r="N406" s="106"/>
      <c r="O406" s="100">
        <f>SUM(O407:O409)</f>
        <v>0</v>
      </c>
      <c r="P406" s="134"/>
    </row>
    <row r="407" spans="2:16" ht="16.5" x14ac:dyDescent="0.35">
      <c r="B407" s="145"/>
      <c r="C407" s="8"/>
      <c r="D407" s="8"/>
      <c r="E407" s="8"/>
      <c r="F407" s="8"/>
      <c r="G407" s="8"/>
      <c r="H407" s="192"/>
      <c r="I407" s="102">
        <f>SUM(K407+M407+O407)</f>
        <v>0</v>
      </c>
      <c r="J407" s="103" t="str">
        <f>"(15)"</f>
        <v>(15)</v>
      </c>
      <c r="K407" s="97">
        <f>SUM(K402*1.2)</f>
        <v>0</v>
      </c>
      <c r="L407" s="98" t="str">
        <f>"(15)"</f>
        <v>(15)</v>
      </c>
      <c r="M407" s="102">
        <f>SUM(M402*1.22)</f>
        <v>0</v>
      </c>
      <c r="N407" s="103" t="str">
        <f>"(15)"</f>
        <v>(15)</v>
      </c>
      <c r="O407" s="102">
        <f>SUM(O402*1.22)</f>
        <v>0</v>
      </c>
      <c r="P407" s="87" t="str">
        <f>"(15)"</f>
        <v>(15)</v>
      </c>
    </row>
    <row r="408" spans="2:16" ht="16.5" x14ac:dyDescent="0.35">
      <c r="B408" s="145"/>
      <c r="C408" s="8"/>
      <c r="D408" s="8"/>
      <c r="E408" s="8"/>
      <c r="F408" s="8"/>
      <c r="G408" s="8"/>
      <c r="H408" s="192"/>
      <c r="I408" s="102">
        <f>SUM(K408+M408+O408)</f>
        <v>0</v>
      </c>
      <c r="J408" s="103" t="str">
        <f>"(50)"</f>
        <v>(50)</v>
      </c>
      <c r="K408" s="97">
        <f>K403</f>
        <v>0</v>
      </c>
      <c r="L408" s="98" t="str">
        <f>"(50)"</f>
        <v>(50)</v>
      </c>
      <c r="M408" s="102">
        <f>M403</f>
        <v>0</v>
      </c>
      <c r="N408" s="103" t="str">
        <f>"(50)"</f>
        <v>(50)</v>
      </c>
      <c r="O408" s="102">
        <f>O403</f>
        <v>0</v>
      </c>
      <c r="P408" s="87" t="str">
        <f>"(50)"</f>
        <v>(50)</v>
      </c>
    </row>
    <row r="409" spans="2:16" ht="17" thickBot="1" x14ac:dyDescent="0.4">
      <c r="B409" s="160"/>
      <c r="C409" s="161"/>
      <c r="D409" s="161"/>
      <c r="E409" s="161"/>
      <c r="F409" s="161"/>
      <c r="G409" s="161"/>
      <c r="H409" s="193"/>
      <c r="I409" s="130">
        <f>SUM(K409+M409+O409)</f>
        <v>0</v>
      </c>
      <c r="J409" s="131" t="str">
        <f>"(55)"</f>
        <v>(55)</v>
      </c>
      <c r="K409" s="93">
        <f>SUM(K404*1.2)</f>
        <v>0</v>
      </c>
      <c r="L409" s="94" t="str">
        <f>"(55)"</f>
        <v>(55)</v>
      </c>
      <c r="M409" s="130">
        <f>SUM(M404*1.22)</f>
        <v>0</v>
      </c>
      <c r="N409" s="131" t="str">
        <f>"(55)"</f>
        <v>(55)</v>
      </c>
      <c r="O409" s="130">
        <f>SUM(O404*1.22)</f>
        <v>0</v>
      </c>
      <c r="P409" s="96" t="str">
        <f>"(55)"</f>
        <v>(55)</v>
      </c>
    </row>
    <row r="410" spans="2:16" ht="16.5" x14ac:dyDescent="0.35">
      <c r="B410" s="187" t="str">
        <f>'kuni 2025 detsember tegevuskava'!A49&amp;"/"&amp;'kuni 2025 detsember tegevuskava'!C49</f>
        <v>Sotsiaalministeerium / TEHIK/Terviseamet/</v>
      </c>
      <c r="C410" s="156" t="str">
        <f>'kuni 2025 detsember tegevuskava'!I49</f>
        <v xml:space="preserve">Ärianalüüs teostatud 2022 aastal. Nakkushaiguste infosüsteem (NAKIS) ei vasta Terviseameti (TA) ega ka partnerite tänastele vajadustele ja turvalisuse nõuetele ning ei ole kasutusel olevate registritega kooskõlas. </v>
      </c>
      <c r="D410" s="156" t="str">
        <f>'kuni 2025 detsember tegevuskava'!J49</f>
        <v>Uus nakkushaiguste infosüsteem</v>
      </c>
      <c r="E410" s="156" t="str">
        <f>'kuni 2025 detsember tegevuskava'!K49</f>
        <v>2023 lõpp/2024 I kv lõpuks on teostatud hange ja leitud on partner detailanalüüsi ja arenduste läbiviimiseks. Projekti lõpuks on Terviseametil uus NAKIS infosüsteem ja loodud on kõik vajalikud liidesed teiste infosüsteemidega. 2024.a valmib detailanalüüs, arendustega alustame juba varem paralleelselt. </v>
      </c>
      <c r="F410" s="156" t="str">
        <f>'kuni 2025 detsember tegevuskava'!O49&amp;"/"</f>
        <v>SF 21-27 (taotletav raha)/</v>
      </c>
      <c r="G410" s="156" cm="1">
        <f t="array" ref="G410">_xlfn.IFS('kuni 2025 detsember tegevuskava'!G49='kuni 2025 detsember tegevuskava'!$G$77,1,'kuni 2025 detsember tegevuskava'!G49='kuni 2025 detsember tegevuskava'!$G$78,2,'kuni 2025 detsember tegevuskava'!G49='kuni 2025 detsember tegevuskava'!$G$79,3,'kuni 2025 detsember tegevuskava'!G49='kuni 2025 detsember tegevuskava'!$G$80,4)</f>
        <v>1</v>
      </c>
      <c r="H410" s="194" cm="1">
        <f t="array" ref="H410">_xlfn.IFS(OR('kuni 2025 detsember tegevuskava'!O49='kuni 2025 detsember tegevuskava'!$O$77,'kuni 2025 detsember tegevuskava'!O49='kuni 2025 detsember tegevuskava'!$O$79,'kuni 2025 detsember tegevuskava'!O49='kuni 2025 detsember tegevuskava'!$O$80,'kuni 2025 detsember tegevuskava'!O49='kuni 2025 detsember tegevuskava'!$O$81),1,'kuni 2025 detsember tegevuskava'!O49='kuni 2025 detsember tegevuskava'!$O$82,2,'kuni 2025 detsember tegevuskava'!O49='kuni 2025 detsember tegevuskava'!$O$83,2,'kuni 2025 detsember tegevuskava'!O49='kuni 2025 detsember tegevuskava'!$O$78,3)</f>
        <v>2</v>
      </c>
      <c r="I410" s="132">
        <f>SUM(I411:I413)</f>
        <v>851770</v>
      </c>
      <c r="J410" s="133"/>
      <c r="K410" s="81">
        <f>SUM(K411:K413)</f>
        <v>0</v>
      </c>
      <c r="L410" s="83"/>
      <c r="M410" s="132">
        <f>SUM(M411:M413)</f>
        <v>380157</v>
      </c>
      <c r="N410" s="133"/>
      <c r="O410" s="81">
        <f>SUM(O411:O413)</f>
        <v>471613</v>
      </c>
      <c r="P410" s="85"/>
    </row>
    <row r="411" spans="2:16" ht="16.5" x14ac:dyDescent="0.35">
      <c r="B411" s="145"/>
      <c r="C411" s="8"/>
      <c r="D411" s="8"/>
      <c r="E411" s="8"/>
      <c r="F411" s="8"/>
      <c r="G411" s="8"/>
      <c r="H411" s="192"/>
      <c r="I411" s="102">
        <f>SUM(K411+M411+O411)</f>
        <v>751160</v>
      </c>
      <c r="J411" s="103" t="str">
        <f>"(15)"</f>
        <v>(15)</v>
      </c>
      <c r="K411" s="97">
        <f>'kuni 2025 detsember tegevuskava'!W49</f>
        <v>0</v>
      </c>
      <c r="L411" s="98" t="str">
        <f>"(15)"</f>
        <v>(15)</v>
      </c>
      <c r="M411" s="102">
        <f>'kuni 2025 detsember tegevuskava'!Z49</f>
        <v>327800</v>
      </c>
      <c r="N411" s="103" t="str">
        <f>"(15)"</f>
        <v>(15)</v>
      </c>
      <c r="O411" s="97">
        <f>'kuni 2025 detsember tegevuskava'!AC49</f>
        <v>423360</v>
      </c>
      <c r="P411" s="87" t="str">
        <f>"(15)"</f>
        <v>(15)</v>
      </c>
    </row>
    <row r="412" spans="2:16" ht="16.5" x14ac:dyDescent="0.35">
      <c r="B412" s="145"/>
      <c r="C412" s="8"/>
      <c r="D412" s="8"/>
      <c r="E412" s="8"/>
      <c r="F412" s="8"/>
      <c r="G412" s="8"/>
      <c r="H412" s="192"/>
      <c r="I412" s="102">
        <f>SUM(K412+M412+O412)</f>
        <v>100610</v>
      </c>
      <c r="J412" s="103" t="str">
        <f>"(50)"</f>
        <v>(50)</v>
      </c>
      <c r="K412" s="97">
        <f>'kuni 2025 detsember tegevuskava'!X49</f>
        <v>0</v>
      </c>
      <c r="L412" s="98" t="str">
        <f>"(50)"</f>
        <v>(50)</v>
      </c>
      <c r="M412" s="102">
        <f>'kuni 2025 detsember tegevuskava'!AA49</f>
        <v>52357</v>
      </c>
      <c r="N412" s="103" t="str">
        <f>"(50)"</f>
        <v>(50)</v>
      </c>
      <c r="O412" s="97">
        <f>'kuni 2025 detsember tegevuskava'!AD49</f>
        <v>48253</v>
      </c>
      <c r="P412" s="87" t="str">
        <f>"(50)"</f>
        <v>(50)</v>
      </c>
    </row>
    <row r="413" spans="2:16" ht="16.5" x14ac:dyDescent="0.35">
      <c r="B413" s="145"/>
      <c r="C413" s="8"/>
      <c r="D413" s="8"/>
      <c r="E413" s="8"/>
      <c r="F413" s="8"/>
      <c r="G413" s="8"/>
      <c r="H413" s="192"/>
      <c r="I413" s="104">
        <f>SUM(K413+M413+O413)</f>
        <v>0</v>
      </c>
      <c r="J413" s="105" t="str">
        <f>"(55)"</f>
        <v>(55)</v>
      </c>
      <c r="K413" s="99">
        <f>'kuni 2025 detsember tegevuskava'!Y49</f>
        <v>0</v>
      </c>
      <c r="L413" s="88" t="str">
        <f>"(55)"</f>
        <v>(55)</v>
      </c>
      <c r="M413" s="104">
        <f>'kuni 2025 detsember tegevuskava'!AB49</f>
        <v>0</v>
      </c>
      <c r="N413" s="105" t="str">
        <f>"(55)"</f>
        <v>(55)</v>
      </c>
      <c r="O413" s="99">
        <f>'kuni 2025 detsember tegevuskava'!AE49</f>
        <v>0</v>
      </c>
      <c r="P413" s="90" t="str">
        <f>"(55)"</f>
        <v>(55)</v>
      </c>
    </row>
    <row r="414" spans="2:16" ht="16.5" x14ac:dyDescent="0.35">
      <c r="B414" s="145"/>
      <c r="C414" s="8"/>
      <c r="D414" s="8"/>
      <c r="E414" s="8"/>
      <c r="F414" s="8"/>
      <c r="G414" s="8"/>
      <c r="H414" s="192"/>
      <c r="I414" s="151" t="s">
        <v>553</v>
      </c>
      <c r="J414" s="8"/>
      <c r="K414" s="8"/>
      <c r="L414" s="8"/>
      <c r="M414" s="8"/>
      <c r="N414" s="8"/>
      <c r="O414" s="8"/>
      <c r="P414" s="159"/>
    </row>
    <row r="415" spans="2:16" ht="16.5" x14ac:dyDescent="0.35">
      <c r="B415" s="145"/>
      <c r="C415" s="8"/>
      <c r="D415" s="8"/>
      <c r="E415" s="8"/>
      <c r="F415" s="8"/>
      <c r="G415" s="8"/>
      <c r="H415" s="192"/>
      <c r="I415" s="100">
        <f>SUM(I416:I418)</f>
        <v>1017025.2</v>
      </c>
      <c r="J415" s="101"/>
      <c r="K415" s="91">
        <f>SUM(K416:K418)</f>
        <v>0</v>
      </c>
      <c r="L415" s="92"/>
      <c r="M415" s="100">
        <f>SUM(M416:M418)</f>
        <v>452273</v>
      </c>
      <c r="N415" s="106"/>
      <c r="O415" s="100">
        <f>SUM(O416:O418)</f>
        <v>564752.19999999995</v>
      </c>
      <c r="P415" s="134"/>
    </row>
    <row r="416" spans="2:16" ht="16.5" x14ac:dyDescent="0.35">
      <c r="B416" s="145"/>
      <c r="C416" s="8"/>
      <c r="D416" s="8"/>
      <c r="E416" s="8"/>
      <c r="F416" s="8"/>
      <c r="G416" s="8"/>
      <c r="H416" s="192"/>
      <c r="I416" s="102">
        <f>SUM(K416+M416+O416)</f>
        <v>916415.2</v>
      </c>
      <c r="J416" s="103" t="str">
        <f>"(15)"</f>
        <v>(15)</v>
      </c>
      <c r="K416" s="97">
        <f>SUM(K411*1.2)</f>
        <v>0</v>
      </c>
      <c r="L416" s="98" t="str">
        <f>"(15)"</f>
        <v>(15)</v>
      </c>
      <c r="M416" s="102">
        <f>SUM(M411*1.22)</f>
        <v>399916</v>
      </c>
      <c r="N416" s="103" t="str">
        <f>"(15)"</f>
        <v>(15)</v>
      </c>
      <c r="O416" s="102">
        <f>SUM(O411*1.22)</f>
        <v>516499.20000000001</v>
      </c>
      <c r="P416" s="87" t="str">
        <f>"(15)"</f>
        <v>(15)</v>
      </c>
    </row>
    <row r="417" spans="2:16" ht="16.5" x14ac:dyDescent="0.35">
      <c r="B417" s="145"/>
      <c r="C417" s="8"/>
      <c r="D417" s="8"/>
      <c r="E417" s="8"/>
      <c r="F417" s="8"/>
      <c r="G417" s="8"/>
      <c r="H417" s="192"/>
      <c r="I417" s="102">
        <f>SUM(K417+M417+O417)</f>
        <v>100610</v>
      </c>
      <c r="J417" s="103" t="str">
        <f>"(50)"</f>
        <v>(50)</v>
      </c>
      <c r="K417" s="97">
        <f>K412</f>
        <v>0</v>
      </c>
      <c r="L417" s="98" t="str">
        <f>"(50)"</f>
        <v>(50)</v>
      </c>
      <c r="M417" s="102">
        <f>M412</f>
        <v>52357</v>
      </c>
      <c r="N417" s="103" t="str">
        <f>"(50)"</f>
        <v>(50)</v>
      </c>
      <c r="O417" s="102">
        <f>O412</f>
        <v>48253</v>
      </c>
      <c r="P417" s="87" t="str">
        <f>"(50)"</f>
        <v>(50)</v>
      </c>
    </row>
    <row r="418" spans="2:16" ht="17" thickBot="1" x14ac:dyDescent="0.4">
      <c r="B418" s="160"/>
      <c r="C418" s="161"/>
      <c r="D418" s="161"/>
      <c r="E418" s="161"/>
      <c r="F418" s="161"/>
      <c r="G418" s="161"/>
      <c r="H418" s="193"/>
      <c r="I418" s="130">
        <f>SUM(K418+M418+O418)</f>
        <v>0</v>
      </c>
      <c r="J418" s="131" t="str">
        <f>"(55)"</f>
        <v>(55)</v>
      </c>
      <c r="K418" s="93">
        <f>SUM(K413*1.2)</f>
        <v>0</v>
      </c>
      <c r="L418" s="94" t="str">
        <f>"(55)"</f>
        <v>(55)</v>
      </c>
      <c r="M418" s="130">
        <f>SUM(M413*1.22)</f>
        <v>0</v>
      </c>
      <c r="N418" s="131" t="str">
        <f>"(55)"</f>
        <v>(55)</v>
      </c>
      <c r="O418" s="130">
        <f>SUM(O413*1.22)</f>
        <v>0</v>
      </c>
      <c r="P418" s="96" t="str">
        <f>"(55)"</f>
        <v>(55)</v>
      </c>
    </row>
    <row r="419" spans="2:16" ht="16.5" x14ac:dyDescent="0.35">
      <c r="B419" s="187" t="e">
        <f>'kuni 2025 detsember tegevuskava'!#REF!&amp;"/"&amp;'kuni 2025 detsember tegevuskava'!#REF!</f>
        <v>#REF!</v>
      </c>
      <c r="C419" s="156" t="e">
        <f>'kuni 2025 detsember tegevuskava'!#REF!</f>
        <v>#REF!</v>
      </c>
      <c r="D419" s="156" t="e">
        <f>'kuni 2025 detsember tegevuskava'!#REF!</f>
        <v>#REF!</v>
      </c>
      <c r="E419" s="156" t="e">
        <f>'kuni 2025 detsember tegevuskava'!#REF!</f>
        <v>#REF!</v>
      </c>
      <c r="F419" s="156" t="e">
        <f>'kuni 2025 detsember tegevuskava'!#REF!&amp;"/"</f>
        <v>#REF!</v>
      </c>
      <c r="G419" s="156" t="e" cm="1">
        <f t="array" ref="G419">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19" s="194" t="e" cm="1">
        <f t="array" ref="H419">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19" s="132" t="e">
        <f>SUM(I420:I422)</f>
        <v>#REF!</v>
      </c>
      <c r="J419" s="133"/>
      <c r="K419" s="81" t="e">
        <f>SUM(K420:K422)</f>
        <v>#REF!</v>
      </c>
      <c r="L419" s="83"/>
      <c r="M419" s="132" t="e">
        <f>SUM(M420:M422)</f>
        <v>#REF!</v>
      </c>
      <c r="N419" s="133"/>
      <c r="O419" s="81" t="e">
        <f>SUM(O420:O422)</f>
        <v>#REF!</v>
      </c>
      <c r="P419" s="85"/>
    </row>
    <row r="420" spans="2:16" ht="16.5" x14ac:dyDescent="0.35">
      <c r="B420" s="145"/>
      <c r="C420" s="8"/>
      <c r="D420" s="8"/>
      <c r="E420" s="8"/>
      <c r="F420" s="8"/>
      <c r="G420" s="8"/>
      <c r="H420" s="192"/>
      <c r="I420" s="102" t="e">
        <f>SUM(K420+M420+O420)</f>
        <v>#REF!</v>
      </c>
      <c r="J420" s="103" t="str">
        <f>"(15)"</f>
        <v>(15)</v>
      </c>
      <c r="K420" s="97" t="e">
        <f>'kuni 2025 detsember tegevuskava'!#REF!</f>
        <v>#REF!</v>
      </c>
      <c r="L420" s="98" t="str">
        <f>"(15)"</f>
        <v>(15)</v>
      </c>
      <c r="M420" s="102" t="e">
        <f>'kuni 2025 detsember tegevuskava'!#REF!</f>
        <v>#REF!</v>
      </c>
      <c r="N420" s="103" t="str">
        <f>"(15)"</f>
        <v>(15)</v>
      </c>
      <c r="O420" s="97" t="e">
        <f>'kuni 2025 detsember tegevuskava'!#REF!</f>
        <v>#REF!</v>
      </c>
      <c r="P420" s="87" t="str">
        <f>"(15)"</f>
        <v>(15)</v>
      </c>
    </row>
    <row r="421" spans="2:16" ht="16.5" x14ac:dyDescent="0.35">
      <c r="B421" s="145"/>
      <c r="C421" s="8"/>
      <c r="D421" s="8"/>
      <c r="E421" s="8"/>
      <c r="F421" s="8"/>
      <c r="G421" s="8"/>
      <c r="H421" s="192"/>
      <c r="I421" s="102" t="e">
        <f>SUM(K421+M421+O421)</f>
        <v>#REF!</v>
      </c>
      <c r="J421" s="103" t="str">
        <f>"(50)"</f>
        <v>(50)</v>
      </c>
      <c r="K421" s="97" t="e">
        <f>'kuni 2025 detsember tegevuskava'!#REF!</f>
        <v>#REF!</v>
      </c>
      <c r="L421" s="98" t="str">
        <f>"(50)"</f>
        <v>(50)</v>
      </c>
      <c r="M421" s="102" t="e">
        <f>'kuni 2025 detsember tegevuskava'!#REF!</f>
        <v>#REF!</v>
      </c>
      <c r="N421" s="103" t="str">
        <f>"(50)"</f>
        <v>(50)</v>
      </c>
      <c r="O421" s="97" t="e">
        <f>'kuni 2025 detsember tegevuskava'!#REF!</f>
        <v>#REF!</v>
      </c>
      <c r="P421" s="87" t="str">
        <f>"(50)"</f>
        <v>(50)</v>
      </c>
    </row>
    <row r="422" spans="2:16" ht="16.5" x14ac:dyDescent="0.35">
      <c r="B422" s="145"/>
      <c r="C422" s="8"/>
      <c r="D422" s="8"/>
      <c r="E422" s="8"/>
      <c r="F422" s="8"/>
      <c r="G422" s="8"/>
      <c r="H422" s="192"/>
      <c r="I422" s="104" t="e">
        <f>SUM(K422+M422+O422)</f>
        <v>#REF!</v>
      </c>
      <c r="J422" s="105" t="str">
        <f>"(55)"</f>
        <v>(55)</v>
      </c>
      <c r="K422" s="99" t="e">
        <f>'kuni 2025 detsember tegevuskava'!#REF!</f>
        <v>#REF!</v>
      </c>
      <c r="L422" s="88" t="str">
        <f>"(55)"</f>
        <v>(55)</v>
      </c>
      <c r="M422" s="104" t="e">
        <f>'kuni 2025 detsember tegevuskava'!#REF!</f>
        <v>#REF!</v>
      </c>
      <c r="N422" s="105" t="str">
        <f>"(55)"</f>
        <v>(55)</v>
      </c>
      <c r="O422" s="99" t="e">
        <f>'kuni 2025 detsember tegevuskava'!#REF!</f>
        <v>#REF!</v>
      </c>
      <c r="P422" s="90" t="str">
        <f>"(55)"</f>
        <v>(55)</v>
      </c>
    </row>
    <row r="423" spans="2:16" ht="16.5" x14ac:dyDescent="0.35">
      <c r="B423" s="145"/>
      <c r="C423" s="8"/>
      <c r="D423" s="8"/>
      <c r="E423" s="8"/>
      <c r="F423" s="8"/>
      <c r="G423" s="8"/>
      <c r="H423" s="192"/>
      <c r="I423" s="151" t="s">
        <v>553</v>
      </c>
      <c r="J423" s="8"/>
      <c r="K423" s="8"/>
      <c r="L423" s="8"/>
      <c r="M423" s="8"/>
      <c r="N423" s="8"/>
      <c r="O423" s="8"/>
      <c r="P423" s="159"/>
    </row>
    <row r="424" spans="2:16" ht="16.5" x14ac:dyDescent="0.35">
      <c r="B424" s="145"/>
      <c r="C424" s="8"/>
      <c r="D424" s="8"/>
      <c r="E424" s="8"/>
      <c r="F424" s="8"/>
      <c r="G424" s="8"/>
      <c r="H424" s="192"/>
      <c r="I424" s="100" t="e">
        <f>SUM(I425:I427)</f>
        <v>#REF!</v>
      </c>
      <c r="J424" s="101"/>
      <c r="K424" s="91" t="e">
        <f>SUM(K425:K427)</f>
        <v>#REF!</v>
      </c>
      <c r="L424" s="92"/>
      <c r="M424" s="100" t="e">
        <f>SUM(M425:M427)</f>
        <v>#REF!</v>
      </c>
      <c r="N424" s="106"/>
      <c r="O424" s="100" t="e">
        <f>SUM(O425:O427)</f>
        <v>#REF!</v>
      </c>
      <c r="P424" s="134"/>
    </row>
    <row r="425" spans="2:16" ht="16.5" x14ac:dyDescent="0.35">
      <c r="B425" s="145"/>
      <c r="C425" s="8"/>
      <c r="D425" s="8"/>
      <c r="E425" s="8"/>
      <c r="F425" s="8"/>
      <c r="G425" s="8"/>
      <c r="H425" s="192"/>
      <c r="I425" s="102" t="e">
        <f>SUM(K425+M425+O425)</f>
        <v>#REF!</v>
      </c>
      <c r="J425" s="103" t="str">
        <f>"(15)"</f>
        <v>(15)</v>
      </c>
      <c r="K425" s="97" t="e">
        <f>SUM(K420*1.2)</f>
        <v>#REF!</v>
      </c>
      <c r="L425" s="98" t="str">
        <f>"(15)"</f>
        <v>(15)</v>
      </c>
      <c r="M425" s="102" t="e">
        <f>SUM(M420*1.22)</f>
        <v>#REF!</v>
      </c>
      <c r="N425" s="103" t="str">
        <f>"(15)"</f>
        <v>(15)</v>
      </c>
      <c r="O425" s="102" t="e">
        <f>SUM(O420*1.22)</f>
        <v>#REF!</v>
      </c>
      <c r="P425" s="87" t="str">
        <f>"(15)"</f>
        <v>(15)</v>
      </c>
    </row>
    <row r="426" spans="2:16" ht="16.5" x14ac:dyDescent="0.35">
      <c r="B426" s="145"/>
      <c r="C426" s="8"/>
      <c r="D426" s="8"/>
      <c r="E426" s="8"/>
      <c r="F426" s="8"/>
      <c r="G426" s="8"/>
      <c r="H426" s="192"/>
      <c r="I426" s="102" t="e">
        <f>SUM(K426+M426+O426)</f>
        <v>#REF!</v>
      </c>
      <c r="J426" s="103" t="str">
        <f>"(50)"</f>
        <v>(50)</v>
      </c>
      <c r="K426" s="97" t="e">
        <f>K421</f>
        <v>#REF!</v>
      </c>
      <c r="L426" s="98" t="str">
        <f>"(50)"</f>
        <v>(50)</v>
      </c>
      <c r="M426" s="102" t="e">
        <f>M421</f>
        <v>#REF!</v>
      </c>
      <c r="N426" s="103" t="str">
        <f>"(50)"</f>
        <v>(50)</v>
      </c>
      <c r="O426" s="102" t="e">
        <f>O421</f>
        <v>#REF!</v>
      </c>
      <c r="P426" s="87" t="str">
        <f>"(50)"</f>
        <v>(50)</v>
      </c>
    </row>
    <row r="427" spans="2:16" ht="17" thickBot="1" x14ac:dyDescent="0.4">
      <c r="B427" s="160"/>
      <c r="C427" s="161"/>
      <c r="D427" s="161"/>
      <c r="E427" s="161"/>
      <c r="F427" s="161"/>
      <c r="G427" s="161"/>
      <c r="H427" s="193"/>
      <c r="I427" s="130" t="e">
        <f>SUM(K427+M427+O427)</f>
        <v>#REF!</v>
      </c>
      <c r="J427" s="131" t="str">
        <f>"(55)"</f>
        <v>(55)</v>
      </c>
      <c r="K427" s="93" t="e">
        <f>SUM(K422*1.2)</f>
        <v>#REF!</v>
      </c>
      <c r="L427" s="94" t="str">
        <f>"(55)"</f>
        <v>(55)</v>
      </c>
      <c r="M427" s="130" t="e">
        <f>SUM(M422*1.22)</f>
        <v>#REF!</v>
      </c>
      <c r="N427" s="131" t="str">
        <f>"(55)"</f>
        <v>(55)</v>
      </c>
      <c r="O427" s="130" t="e">
        <f>SUM(O422*1.22)</f>
        <v>#REF!</v>
      </c>
      <c r="P427" s="96" t="str">
        <f>"(55)"</f>
        <v>(55)</v>
      </c>
    </row>
    <row r="428" spans="2:16" ht="16.5" x14ac:dyDescent="0.35">
      <c r="B428" s="187" t="str">
        <f>'kuni 2025 detsember tegevuskava'!A66&amp;"/"&amp;'kuni 2025 detsember tegevuskava'!C66</f>
        <v>Sotsiaalministeerium / TEHIK/</v>
      </c>
      <c r="C428" s="156">
        <f>'kuni 2025 detsember tegevuskava'!I66</f>
        <v>0</v>
      </c>
      <c r="D428" s="156" t="str">
        <f>'kuni 2025 detsember tegevuskava'!J66</f>
        <v>EST-2-MyHealth</v>
      </c>
      <c r="E428" s="156">
        <f>'kuni 2025 detsember tegevuskava'!K66</f>
        <v>0</v>
      </c>
      <c r="F428" s="156" t="str">
        <f>'kuni 2025 detsember tegevuskava'!O66&amp;"/"</f>
        <v>Muu rahastus/</v>
      </c>
      <c r="G428" s="156" cm="1">
        <f t="array" ref="G428">_xlfn.IFS('kuni 2025 detsember tegevuskava'!G66='kuni 2025 detsember tegevuskava'!$G$77,1,'kuni 2025 detsember tegevuskava'!G66='kuni 2025 detsember tegevuskava'!$G$78,2,'kuni 2025 detsember tegevuskava'!G66='kuni 2025 detsember tegevuskava'!$G$79,3,'kuni 2025 detsember tegevuskava'!G66='kuni 2025 detsember tegevuskava'!$G$80,4)</f>
        <v>4</v>
      </c>
      <c r="H428" s="194" cm="1">
        <f t="array" ref="H428">_xlfn.IFS(OR('kuni 2025 detsember tegevuskava'!O66='kuni 2025 detsember tegevuskava'!$O$77,'kuni 2025 detsember tegevuskava'!O66='kuni 2025 detsember tegevuskava'!$O$79,'kuni 2025 detsember tegevuskava'!O66='kuni 2025 detsember tegevuskava'!$O$80,'kuni 2025 detsember tegevuskava'!O66='kuni 2025 detsember tegevuskava'!$O$81),1,'kuni 2025 detsember tegevuskava'!O66='kuni 2025 detsember tegevuskava'!$O$82,2,'kuni 2025 detsember tegevuskava'!O66='kuni 2025 detsember tegevuskava'!$O$83,2,'kuni 2025 detsember tegevuskava'!O66='kuni 2025 detsember tegevuskava'!$O$78,3)</f>
        <v>3</v>
      </c>
      <c r="I428" s="132">
        <f>SUM(I429:I431)</f>
        <v>738343.72</v>
      </c>
      <c r="J428" s="133"/>
      <c r="K428" s="81">
        <f>SUM(K429:K431)</f>
        <v>0</v>
      </c>
      <c r="L428" s="83"/>
      <c r="M428" s="132">
        <f>SUM(M429:M431)</f>
        <v>454233.5</v>
      </c>
      <c r="N428" s="133"/>
      <c r="O428" s="81">
        <f>SUM(O429:O431)</f>
        <v>284110.21999999997</v>
      </c>
      <c r="P428" s="85"/>
    </row>
    <row r="429" spans="2:16" ht="16.5" x14ac:dyDescent="0.35">
      <c r="B429" s="145"/>
      <c r="C429" s="8"/>
      <c r="D429" s="8"/>
      <c r="E429" s="8"/>
      <c r="F429" s="8"/>
      <c r="G429" s="8"/>
      <c r="H429" s="192"/>
      <c r="I429" s="102">
        <f>SUM(K429+M429+O429)</f>
        <v>565723.72</v>
      </c>
      <c r="J429" s="103" t="str">
        <f>"(15)"</f>
        <v>(15)</v>
      </c>
      <c r="K429" s="97">
        <f>'kuni 2025 detsember tegevuskava'!W66</f>
        <v>0</v>
      </c>
      <c r="L429" s="98" t="str">
        <f>"(15)"</f>
        <v>(15)</v>
      </c>
      <c r="M429" s="102">
        <f>'kuni 2025 detsember tegevuskava'!Z66</f>
        <v>367923.5</v>
      </c>
      <c r="N429" s="103" t="str">
        <f>"(15)"</f>
        <v>(15)</v>
      </c>
      <c r="O429" s="97">
        <f>'kuni 2025 detsember tegevuskava'!AC66</f>
        <v>197800.22</v>
      </c>
      <c r="P429" s="87" t="str">
        <f>"(15)"</f>
        <v>(15)</v>
      </c>
    </row>
    <row r="430" spans="2:16" ht="16.5" x14ac:dyDescent="0.35">
      <c r="B430" s="145"/>
      <c r="C430" s="8"/>
      <c r="D430" s="8"/>
      <c r="E430" s="8"/>
      <c r="F430" s="8"/>
      <c r="G430" s="8"/>
      <c r="H430" s="192"/>
      <c r="I430" s="102">
        <f>SUM(K430+M430+O430)</f>
        <v>172620</v>
      </c>
      <c r="J430" s="103" t="str">
        <f>"(50)"</f>
        <v>(50)</v>
      </c>
      <c r="K430" s="97">
        <f>'kuni 2025 detsember tegevuskava'!X66</f>
        <v>0</v>
      </c>
      <c r="L430" s="98" t="str">
        <f>"(50)"</f>
        <v>(50)</v>
      </c>
      <c r="M430" s="102">
        <f>'kuni 2025 detsember tegevuskava'!AA66</f>
        <v>86310</v>
      </c>
      <c r="N430" s="103" t="str">
        <f>"(50)"</f>
        <v>(50)</v>
      </c>
      <c r="O430" s="97">
        <f>'kuni 2025 detsember tegevuskava'!AD66</f>
        <v>86310</v>
      </c>
      <c r="P430" s="87" t="str">
        <f>"(50)"</f>
        <v>(50)</v>
      </c>
    </row>
    <row r="431" spans="2:16" ht="16.5" x14ac:dyDescent="0.35">
      <c r="B431" s="145"/>
      <c r="C431" s="8"/>
      <c r="D431" s="8"/>
      <c r="E431" s="8"/>
      <c r="F431" s="8"/>
      <c r="G431" s="8"/>
      <c r="H431" s="192"/>
      <c r="I431" s="104">
        <f>SUM(K431+M431+O431)</f>
        <v>0</v>
      </c>
      <c r="J431" s="105" t="str">
        <f>"(55)"</f>
        <v>(55)</v>
      </c>
      <c r="K431" s="99">
        <f>'kuni 2025 detsember tegevuskava'!Y66</f>
        <v>0</v>
      </c>
      <c r="L431" s="88" t="str">
        <f>"(55)"</f>
        <v>(55)</v>
      </c>
      <c r="M431" s="104">
        <f>'kuni 2025 detsember tegevuskava'!AB66</f>
        <v>0</v>
      </c>
      <c r="N431" s="105" t="str">
        <f>"(55)"</f>
        <v>(55)</v>
      </c>
      <c r="O431" s="99">
        <f>'kuni 2025 detsember tegevuskava'!AE66</f>
        <v>0</v>
      </c>
      <c r="P431" s="90" t="str">
        <f>"(55)"</f>
        <v>(55)</v>
      </c>
    </row>
    <row r="432" spans="2:16" ht="16.5" x14ac:dyDescent="0.35">
      <c r="B432" s="145"/>
      <c r="C432" s="8"/>
      <c r="D432" s="8"/>
      <c r="E432" s="8"/>
      <c r="F432" s="8"/>
      <c r="G432" s="8"/>
      <c r="H432" s="192"/>
      <c r="I432" s="151" t="s">
        <v>553</v>
      </c>
      <c r="J432" s="8"/>
      <c r="K432" s="8"/>
      <c r="L432" s="8"/>
      <c r="M432" s="8"/>
      <c r="N432" s="8"/>
      <c r="O432" s="8"/>
      <c r="P432" s="159"/>
    </row>
    <row r="433" spans="2:16" ht="16.5" x14ac:dyDescent="0.35">
      <c r="B433" s="145"/>
      <c r="C433" s="8"/>
      <c r="D433" s="8"/>
      <c r="E433" s="8"/>
      <c r="F433" s="8"/>
      <c r="G433" s="8"/>
      <c r="H433" s="192"/>
      <c r="I433" s="100">
        <f>SUM(I434:I436)</f>
        <v>862802.93839999998</v>
      </c>
      <c r="J433" s="101"/>
      <c r="K433" s="91">
        <f>SUM(K434:K436)</f>
        <v>0</v>
      </c>
      <c r="L433" s="92"/>
      <c r="M433" s="100">
        <f>SUM(M434:M436)</f>
        <v>535176.66999999993</v>
      </c>
      <c r="N433" s="106"/>
      <c r="O433" s="100">
        <f>SUM(O434:O436)</f>
        <v>327626.2684</v>
      </c>
      <c r="P433" s="134"/>
    </row>
    <row r="434" spans="2:16" ht="16.5" x14ac:dyDescent="0.35">
      <c r="B434" s="145"/>
      <c r="C434" s="8"/>
      <c r="D434" s="8"/>
      <c r="E434" s="8"/>
      <c r="F434" s="8"/>
      <c r="G434" s="8"/>
      <c r="H434" s="192"/>
      <c r="I434" s="102">
        <f>SUM(K434+M434+O434)</f>
        <v>690182.93839999998</v>
      </c>
      <c r="J434" s="103" t="str">
        <f>"(15)"</f>
        <v>(15)</v>
      </c>
      <c r="K434" s="97">
        <f>SUM(K429*1.2)</f>
        <v>0</v>
      </c>
      <c r="L434" s="98" t="str">
        <f>"(15)"</f>
        <v>(15)</v>
      </c>
      <c r="M434" s="102">
        <f>SUM(M429*1.22)</f>
        <v>448866.67</v>
      </c>
      <c r="N434" s="103" t="str">
        <f>"(15)"</f>
        <v>(15)</v>
      </c>
      <c r="O434" s="102">
        <f>SUM(O429*1.22)</f>
        <v>241316.2684</v>
      </c>
      <c r="P434" s="87" t="str">
        <f>"(15)"</f>
        <v>(15)</v>
      </c>
    </row>
    <row r="435" spans="2:16" ht="16.5" x14ac:dyDescent="0.35">
      <c r="B435" s="145"/>
      <c r="C435" s="8"/>
      <c r="D435" s="8"/>
      <c r="E435" s="8"/>
      <c r="F435" s="8"/>
      <c r="G435" s="8"/>
      <c r="H435" s="192"/>
      <c r="I435" s="102">
        <f>SUM(K435+M435+O435)</f>
        <v>172620</v>
      </c>
      <c r="J435" s="103" t="str">
        <f>"(50)"</f>
        <v>(50)</v>
      </c>
      <c r="K435" s="97">
        <f>K430</f>
        <v>0</v>
      </c>
      <c r="L435" s="98" t="str">
        <f>"(50)"</f>
        <v>(50)</v>
      </c>
      <c r="M435" s="102">
        <f>M430</f>
        <v>86310</v>
      </c>
      <c r="N435" s="103" t="str">
        <f>"(50)"</f>
        <v>(50)</v>
      </c>
      <c r="O435" s="102">
        <f>O430</f>
        <v>86310</v>
      </c>
      <c r="P435" s="87" t="str">
        <f>"(50)"</f>
        <v>(50)</v>
      </c>
    </row>
    <row r="436" spans="2:16" ht="17" thickBot="1" x14ac:dyDescent="0.4">
      <c r="B436" s="160"/>
      <c r="C436" s="161"/>
      <c r="D436" s="161"/>
      <c r="E436" s="161"/>
      <c r="F436" s="161"/>
      <c r="G436" s="161"/>
      <c r="H436" s="193"/>
      <c r="I436" s="130">
        <f>SUM(K436+M436+O436)</f>
        <v>0</v>
      </c>
      <c r="J436" s="131" t="str">
        <f>"(55)"</f>
        <v>(55)</v>
      </c>
      <c r="K436" s="93">
        <f>SUM(K431*1.2)</f>
        <v>0</v>
      </c>
      <c r="L436" s="94" t="str">
        <f>"(55)"</f>
        <v>(55)</v>
      </c>
      <c r="M436" s="130">
        <f>SUM(M431*1.22)</f>
        <v>0</v>
      </c>
      <c r="N436" s="131" t="str">
        <f>"(55)"</f>
        <v>(55)</v>
      </c>
      <c r="O436" s="130">
        <f>SUM(O431*1.22)</f>
        <v>0</v>
      </c>
      <c r="P436" s="96" t="str">
        <f>"(55)"</f>
        <v>(55)</v>
      </c>
    </row>
    <row r="437" spans="2:16" ht="16.5" x14ac:dyDescent="0.35">
      <c r="B437" s="187" t="str">
        <f>'kuni 2025 detsember tegevuskava'!A67&amp;"/"&amp;'kuni 2025 detsember tegevuskava'!C67</f>
        <v>Sotsiaalministeerium / TEHIK/</v>
      </c>
      <c r="C437" s="156">
        <f>'kuni 2025 detsember tegevuskava'!I67</f>
        <v>0</v>
      </c>
      <c r="D437" s="156" t="str">
        <f>'kuni 2025 detsember tegevuskava'!J67</f>
        <v>Xt-EHR</v>
      </c>
      <c r="E437" s="156">
        <f>'kuni 2025 detsember tegevuskava'!K67</f>
        <v>0</v>
      </c>
      <c r="F437" s="156" t="str">
        <f>'kuni 2025 detsember tegevuskava'!O67&amp;"/"</f>
        <v>Muu rahastus/</v>
      </c>
      <c r="G437" s="156" cm="1">
        <f t="array" ref="G437">_xlfn.IFS('kuni 2025 detsember tegevuskava'!G67='kuni 2025 detsember tegevuskava'!$G$77,1,'kuni 2025 detsember tegevuskava'!G67='kuni 2025 detsember tegevuskava'!$G$78,2,'kuni 2025 detsember tegevuskava'!G67='kuni 2025 detsember tegevuskava'!$G$79,3,'kuni 2025 detsember tegevuskava'!G67='kuni 2025 detsember tegevuskava'!$G$80,4)</f>
        <v>4</v>
      </c>
      <c r="H437" s="194" cm="1">
        <f t="array" ref="H437">_xlfn.IFS(OR('kuni 2025 detsember tegevuskava'!O67='kuni 2025 detsember tegevuskava'!$O$77,'kuni 2025 detsember tegevuskava'!O67='kuni 2025 detsember tegevuskava'!$O$79,'kuni 2025 detsember tegevuskava'!O67='kuni 2025 detsember tegevuskava'!$O$80,'kuni 2025 detsember tegevuskava'!O67='kuni 2025 detsember tegevuskava'!$O$81),1,'kuni 2025 detsember tegevuskava'!O67='kuni 2025 detsember tegevuskava'!$O$82,2,'kuni 2025 detsember tegevuskava'!O67='kuni 2025 detsember tegevuskava'!$O$83,2,'kuni 2025 detsember tegevuskava'!O67='kuni 2025 detsember tegevuskava'!$O$78,3)</f>
        <v>3</v>
      </c>
      <c r="I437" s="132">
        <f>SUM(I438:I440)</f>
        <v>57914</v>
      </c>
      <c r="J437" s="133"/>
      <c r="K437" s="81">
        <f>SUM(K438:K440)</f>
        <v>0</v>
      </c>
      <c r="L437" s="83"/>
      <c r="M437" s="132">
        <f>SUM(M438:M440)</f>
        <v>28646</v>
      </c>
      <c r="N437" s="133"/>
      <c r="O437" s="81">
        <f>SUM(O438:O440)</f>
        <v>29268</v>
      </c>
      <c r="P437" s="85"/>
    </row>
    <row r="438" spans="2:16" ht="16.5" x14ac:dyDescent="0.35">
      <c r="B438" s="145"/>
      <c r="C438" s="8"/>
      <c r="D438" s="8"/>
      <c r="E438" s="8"/>
      <c r="F438" s="8"/>
      <c r="G438" s="8"/>
      <c r="H438" s="192"/>
      <c r="I438" s="102">
        <f>SUM(K438+M438+O438)</f>
        <v>0</v>
      </c>
      <c r="J438" s="103" t="str">
        <f>"(15)"</f>
        <v>(15)</v>
      </c>
      <c r="K438" s="97">
        <f>'kuni 2025 detsember tegevuskava'!W67</f>
        <v>0</v>
      </c>
      <c r="L438" s="98" t="str">
        <f>"(15)"</f>
        <v>(15)</v>
      </c>
      <c r="M438" s="102">
        <f>'kuni 2025 detsember tegevuskava'!Z67</f>
        <v>0</v>
      </c>
      <c r="N438" s="103" t="str">
        <f>"(15)"</f>
        <v>(15)</v>
      </c>
      <c r="O438" s="97">
        <f>'kuni 2025 detsember tegevuskava'!AC67</f>
        <v>0</v>
      </c>
      <c r="P438" s="87" t="str">
        <f>"(15)"</f>
        <v>(15)</v>
      </c>
    </row>
    <row r="439" spans="2:16" ht="16.5" x14ac:dyDescent="0.35">
      <c r="B439" s="145"/>
      <c r="C439" s="8"/>
      <c r="D439" s="8"/>
      <c r="E439" s="8"/>
      <c r="F439" s="8"/>
      <c r="G439" s="8"/>
      <c r="H439" s="192"/>
      <c r="I439" s="102">
        <f>SUM(K439+M439+O439)</f>
        <v>57292</v>
      </c>
      <c r="J439" s="103" t="str">
        <f>"(50)"</f>
        <v>(50)</v>
      </c>
      <c r="K439" s="97">
        <f>'kuni 2025 detsember tegevuskava'!X67</f>
        <v>0</v>
      </c>
      <c r="L439" s="98" t="str">
        <f>"(50)"</f>
        <v>(50)</v>
      </c>
      <c r="M439" s="102">
        <f>'kuni 2025 detsember tegevuskava'!AA67</f>
        <v>28646</v>
      </c>
      <c r="N439" s="103" t="str">
        <f>"(50)"</f>
        <v>(50)</v>
      </c>
      <c r="O439" s="97">
        <f>'kuni 2025 detsember tegevuskava'!AD67</f>
        <v>28646</v>
      </c>
      <c r="P439" s="87" t="str">
        <f>"(50)"</f>
        <v>(50)</v>
      </c>
    </row>
    <row r="440" spans="2:16" ht="16.5" x14ac:dyDescent="0.35">
      <c r="B440" s="145"/>
      <c r="C440" s="8"/>
      <c r="D440" s="8"/>
      <c r="E440" s="8"/>
      <c r="F440" s="8"/>
      <c r="G440" s="8"/>
      <c r="H440" s="192"/>
      <c r="I440" s="104">
        <f>SUM(K440+M440+O440)</f>
        <v>622</v>
      </c>
      <c r="J440" s="105" t="str">
        <f>"(55)"</f>
        <v>(55)</v>
      </c>
      <c r="K440" s="99">
        <f>'kuni 2025 detsember tegevuskava'!Y67</f>
        <v>0</v>
      </c>
      <c r="L440" s="88" t="str">
        <f>"(55)"</f>
        <v>(55)</v>
      </c>
      <c r="M440" s="104">
        <f>'kuni 2025 detsember tegevuskava'!AB67</f>
        <v>0</v>
      </c>
      <c r="N440" s="105" t="str">
        <f>"(55)"</f>
        <v>(55)</v>
      </c>
      <c r="O440" s="99">
        <f>'kuni 2025 detsember tegevuskava'!AE67</f>
        <v>622</v>
      </c>
      <c r="P440" s="90" t="str">
        <f>"(55)"</f>
        <v>(55)</v>
      </c>
    </row>
    <row r="441" spans="2:16" ht="16.5" x14ac:dyDescent="0.35">
      <c r="B441" s="145"/>
      <c r="C441" s="8"/>
      <c r="D441" s="8"/>
      <c r="E441" s="8"/>
      <c r="F441" s="8"/>
      <c r="G441" s="8"/>
      <c r="H441" s="192"/>
      <c r="I441" s="151" t="s">
        <v>553</v>
      </c>
      <c r="J441" s="8"/>
      <c r="K441" s="8"/>
      <c r="L441" s="8"/>
      <c r="M441" s="8"/>
      <c r="N441" s="8"/>
      <c r="O441" s="8"/>
      <c r="P441" s="159"/>
    </row>
    <row r="442" spans="2:16" ht="16.5" x14ac:dyDescent="0.35">
      <c r="B442" s="145"/>
      <c r="C442" s="8"/>
      <c r="D442" s="8"/>
      <c r="E442" s="8"/>
      <c r="F442" s="8"/>
      <c r="G442" s="8"/>
      <c r="H442" s="192"/>
      <c r="I442" s="100">
        <f>SUM(I443:I445)</f>
        <v>58050.84</v>
      </c>
      <c r="J442" s="101"/>
      <c r="K442" s="91">
        <f>SUM(K443:K445)</f>
        <v>0</v>
      </c>
      <c r="L442" s="92"/>
      <c r="M442" s="100">
        <f>SUM(M443:M445)</f>
        <v>28646</v>
      </c>
      <c r="N442" s="106"/>
      <c r="O442" s="100">
        <f>SUM(O443:O445)</f>
        <v>29404.84</v>
      </c>
      <c r="P442" s="134"/>
    </row>
    <row r="443" spans="2:16" ht="16.5" x14ac:dyDescent="0.35">
      <c r="B443" s="145"/>
      <c r="C443" s="8"/>
      <c r="D443" s="8"/>
      <c r="E443" s="8"/>
      <c r="F443" s="8"/>
      <c r="G443" s="8"/>
      <c r="H443" s="192"/>
      <c r="I443" s="102">
        <f>SUM(K443+M443+O443)</f>
        <v>0</v>
      </c>
      <c r="J443" s="103" t="str">
        <f>"(15)"</f>
        <v>(15)</v>
      </c>
      <c r="K443" s="97">
        <f>SUM(K438*1.2)</f>
        <v>0</v>
      </c>
      <c r="L443" s="98" t="str">
        <f>"(15)"</f>
        <v>(15)</v>
      </c>
      <c r="M443" s="102">
        <f>SUM(M438*1.22)</f>
        <v>0</v>
      </c>
      <c r="N443" s="103" t="str">
        <f>"(15)"</f>
        <v>(15)</v>
      </c>
      <c r="O443" s="102">
        <f>SUM(O438*1.22)</f>
        <v>0</v>
      </c>
      <c r="P443" s="87" t="str">
        <f>"(15)"</f>
        <v>(15)</v>
      </c>
    </row>
    <row r="444" spans="2:16" ht="16.5" x14ac:dyDescent="0.35">
      <c r="B444" s="145"/>
      <c r="C444" s="8"/>
      <c r="D444" s="8"/>
      <c r="E444" s="8"/>
      <c r="F444" s="8"/>
      <c r="G444" s="8"/>
      <c r="H444" s="192"/>
      <c r="I444" s="102">
        <f>SUM(K444+M444+O444)</f>
        <v>57292</v>
      </c>
      <c r="J444" s="103" t="str">
        <f>"(50)"</f>
        <v>(50)</v>
      </c>
      <c r="K444" s="97">
        <f>K439</f>
        <v>0</v>
      </c>
      <c r="L444" s="98" t="str">
        <f>"(50)"</f>
        <v>(50)</v>
      </c>
      <c r="M444" s="102">
        <f>M439</f>
        <v>28646</v>
      </c>
      <c r="N444" s="103" t="str">
        <f>"(50)"</f>
        <v>(50)</v>
      </c>
      <c r="O444" s="102">
        <f>O439</f>
        <v>28646</v>
      </c>
      <c r="P444" s="87" t="str">
        <f>"(50)"</f>
        <v>(50)</v>
      </c>
    </row>
    <row r="445" spans="2:16" ht="17" thickBot="1" x14ac:dyDescent="0.4">
      <c r="B445" s="160"/>
      <c r="C445" s="161"/>
      <c r="D445" s="161"/>
      <c r="E445" s="161"/>
      <c r="F445" s="161"/>
      <c r="G445" s="161"/>
      <c r="H445" s="193"/>
      <c r="I445" s="130">
        <f>SUM(K445+M445+O445)</f>
        <v>758.84</v>
      </c>
      <c r="J445" s="131" t="str">
        <f>"(55)"</f>
        <v>(55)</v>
      </c>
      <c r="K445" s="93">
        <f>SUM(K440*1.2)</f>
        <v>0</v>
      </c>
      <c r="L445" s="94" t="str">
        <f>"(55)"</f>
        <v>(55)</v>
      </c>
      <c r="M445" s="130">
        <f>SUM(M440*1.22)</f>
        <v>0</v>
      </c>
      <c r="N445" s="131" t="str">
        <f>"(55)"</f>
        <v>(55)</v>
      </c>
      <c r="O445" s="130">
        <f>SUM(O440*1.22)</f>
        <v>758.84</v>
      </c>
      <c r="P445" s="96" t="str">
        <f>"(55)"</f>
        <v>(55)</v>
      </c>
    </row>
    <row r="446" spans="2:16" ht="16.5" x14ac:dyDescent="0.35">
      <c r="B446" s="187" t="e">
        <f>'kuni 2025 detsember tegevuskava'!#REF!&amp;"/"&amp;'kuni 2025 detsember tegevuskava'!#REF!</f>
        <v>#REF!</v>
      </c>
      <c r="C446" s="156" t="e">
        <f>'kuni 2025 detsember tegevuskava'!#REF!</f>
        <v>#REF!</v>
      </c>
      <c r="D446" s="156" t="e">
        <f>'kuni 2025 detsember tegevuskava'!#REF!</f>
        <v>#REF!</v>
      </c>
      <c r="E446" s="156" t="e">
        <f>'kuni 2025 detsember tegevuskava'!#REF!</f>
        <v>#REF!</v>
      </c>
      <c r="F446" s="156" t="e">
        <f>'kuni 2025 detsember tegevuskava'!#REF!&amp;"/"</f>
        <v>#REF!</v>
      </c>
      <c r="G446" s="156" t="e" cm="1">
        <f t="array" ref="G446">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46" s="194" t="e" cm="1">
        <f t="array" ref="H446">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46" s="132" t="e">
        <f>SUM(I447:I449)</f>
        <v>#REF!</v>
      </c>
      <c r="J446" s="133"/>
      <c r="K446" s="81" t="e">
        <f>SUM(K447:K449)</f>
        <v>#REF!</v>
      </c>
      <c r="L446" s="83"/>
      <c r="M446" s="132" t="e">
        <f>SUM(M447:M449)</f>
        <v>#REF!</v>
      </c>
      <c r="N446" s="133"/>
      <c r="O446" s="81" t="e">
        <f>SUM(O447:O449)</f>
        <v>#REF!</v>
      </c>
      <c r="P446" s="85"/>
    </row>
    <row r="447" spans="2:16" ht="16.5" x14ac:dyDescent="0.35">
      <c r="B447" s="145"/>
      <c r="C447" s="8"/>
      <c r="D447" s="8"/>
      <c r="E447" s="8"/>
      <c r="F447" s="8"/>
      <c r="G447" s="8"/>
      <c r="H447" s="192"/>
      <c r="I447" s="102" t="e">
        <f>SUM(K447+M447+O447)</f>
        <v>#REF!</v>
      </c>
      <c r="J447" s="103" t="str">
        <f>"(15)"</f>
        <v>(15)</v>
      </c>
      <c r="K447" s="97" t="e">
        <f>'kuni 2025 detsember tegevuskava'!#REF!</f>
        <v>#REF!</v>
      </c>
      <c r="L447" s="98" t="str">
        <f>"(15)"</f>
        <v>(15)</v>
      </c>
      <c r="M447" s="102" t="e">
        <f>'kuni 2025 detsember tegevuskava'!#REF!</f>
        <v>#REF!</v>
      </c>
      <c r="N447" s="103" t="str">
        <f>"(15)"</f>
        <v>(15)</v>
      </c>
      <c r="O447" s="97" t="e">
        <f>'kuni 2025 detsember tegevuskava'!#REF!</f>
        <v>#REF!</v>
      </c>
      <c r="P447" s="87" t="str">
        <f>"(15)"</f>
        <v>(15)</v>
      </c>
    </row>
    <row r="448" spans="2:16" ht="16.5" x14ac:dyDescent="0.35">
      <c r="B448" s="145"/>
      <c r="C448" s="8"/>
      <c r="D448" s="8"/>
      <c r="E448" s="8"/>
      <c r="F448" s="8"/>
      <c r="G448" s="8"/>
      <c r="H448" s="192"/>
      <c r="I448" s="102" t="e">
        <f>SUM(K448+M448+O448)</f>
        <v>#REF!</v>
      </c>
      <c r="J448" s="103" t="str">
        <f>"(50)"</f>
        <v>(50)</v>
      </c>
      <c r="K448" s="97" t="e">
        <f>'kuni 2025 detsember tegevuskava'!#REF!</f>
        <v>#REF!</v>
      </c>
      <c r="L448" s="98" t="str">
        <f>"(50)"</f>
        <v>(50)</v>
      </c>
      <c r="M448" s="102" t="e">
        <f>'kuni 2025 detsember tegevuskava'!#REF!</f>
        <v>#REF!</v>
      </c>
      <c r="N448" s="103" t="str">
        <f>"(50)"</f>
        <v>(50)</v>
      </c>
      <c r="O448" s="97" t="e">
        <f>'kuni 2025 detsember tegevuskava'!#REF!</f>
        <v>#REF!</v>
      </c>
      <c r="P448" s="87" t="str">
        <f>"(50)"</f>
        <v>(50)</v>
      </c>
    </row>
    <row r="449" spans="2:16" ht="16.5" x14ac:dyDescent="0.35">
      <c r="B449" s="145"/>
      <c r="C449" s="8"/>
      <c r="D449" s="8"/>
      <c r="E449" s="8"/>
      <c r="F449" s="8"/>
      <c r="G449" s="8"/>
      <c r="H449" s="192"/>
      <c r="I449" s="104" t="e">
        <f>SUM(K449+M449+O449)</f>
        <v>#REF!</v>
      </c>
      <c r="J449" s="105" t="str">
        <f>"(55)"</f>
        <v>(55)</v>
      </c>
      <c r="K449" s="99" t="e">
        <f>'kuni 2025 detsember tegevuskava'!#REF!</f>
        <v>#REF!</v>
      </c>
      <c r="L449" s="88" t="str">
        <f>"(55)"</f>
        <v>(55)</v>
      </c>
      <c r="M449" s="104" t="e">
        <f>'kuni 2025 detsember tegevuskava'!#REF!</f>
        <v>#REF!</v>
      </c>
      <c r="N449" s="105" t="str">
        <f>"(55)"</f>
        <v>(55)</v>
      </c>
      <c r="O449" s="99" t="e">
        <f>'kuni 2025 detsember tegevuskava'!#REF!</f>
        <v>#REF!</v>
      </c>
      <c r="P449" s="90" t="str">
        <f>"(55)"</f>
        <v>(55)</v>
      </c>
    </row>
    <row r="450" spans="2:16" ht="16.5" x14ac:dyDescent="0.35">
      <c r="B450" s="145"/>
      <c r="C450" s="8"/>
      <c r="D450" s="8"/>
      <c r="E450" s="8"/>
      <c r="F450" s="8"/>
      <c r="G450" s="8"/>
      <c r="H450" s="192"/>
      <c r="I450" s="151" t="s">
        <v>553</v>
      </c>
      <c r="J450" s="8"/>
      <c r="K450" s="8"/>
      <c r="L450" s="8"/>
      <c r="M450" s="8"/>
      <c r="N450" s="8"/>
      <c r="O450" s="8"/>
      <c r="P450" s="159"/>
    </row>
    <row r="451" spans="2:16" ht="16.5" x14ac:dyDescent="0.35">
      <c r="B451" s="145"/>
      <c r="C451" s="8"/>
      <c r="D451" s="8"/>
      <c r="E451" s="8"/>
      <c r="F451" s="8"/>
      <c r="G451" s="8"/>
      <c r="H451" s="192"/>
      <c r="I451" s="100" t="e">
        <f>SUM(I452:I454)</f>
        <v>#REF!</v>
      </c>
      <c r="J451" s="101"/>
      <c r="K451" s="91" t="e">
        <f>SUM(K452:K454)</f>
        <v>#REF!</v>
      </c>
      <c r="L451" s="92"/>
      <c r="M451" s="100" t="e">
        <f>SUM(M452:M454)</f>
        <v>#REF!</v>
      </c>
      <c r="N451" s="106"/>
      <c r="O451" s="100" t="e">
        <f>SUM(O452:O454)</f>
        <v>#REF!</v>
      </c>
      <c r="P451" s="134"/>
    </row>
    <row r="452" spans="2:16" ht="16.5" x14ac:dyDescent="0.35">
      <c r="B452" s="145"/>
      <c r="C452" s="8"/>
      <c r="D452" s="8"/>
      <c r="E452" s="8"/>
      <c r="F452" s="8"/>
      <c r="G452" s="8"/>
      <c r="H452" s="192"/>
      <c r="I452" s="102" t="e">
        <f>SUM(K452+M452+O452)</f>
        <v>#REF!</v>
      </c>
      <c r="J452" s="103" t="str">
        <f>"(15)"</f>
        <v>(15)</v>
      </c>
      <c r="K452" s="97" t="e">
        <f>SUM(K447*1.2)</f>
        <v>#REF!</v>
      </c>
      <c r="L452" s="98" t="str">
        <f>"(15)"</f>
        <v>(15)</v>
      </c>
      <c r="M452" s="102" t="e">
        <f>SUM(M447*1.22)</f>
        <v>#REF!</v>
      </c>
      <c r="N452" s="103" t="str">
        <f>"(15)"</f>
        <v>(15)</v>
      </c>
      <c r="O452" s="102" t="e">
        <f>SUM(O447*1.22)</f>
        <v>#REF!</v>
      </c>
      <c r="P452" s="87" t="str">
        <f>"(15)"</f>
        <v>(15)</v>
      </c>
    </row>
    <row r="453" spans="2:16" ht="16.5" x14ac:dyDescent="0.35">
      <c r="B453" s="145"/>
      <c r="C453" s="8"/>
      <c r="D453" s="8"/>
      <c r="E453" s="8"/>
      <c r="F453" s="8"/>
      <c r="G453" s="8"/>
      <c r="H453" s="192"/>
      <c r="I453" s="102" t="e">
        <f>SUM(K453+M453+O453)</f>
        <v>#REF!</v>
      </c>
      <c r="J453" s="103" t="str">
        <f>"(50)"</f>
        <v>(50)</v>
      </c>
      <c r="K453" s="97" t="e">
        <f>K448</f>
        <v>#REF!</v>
      </c>
      <c r="L453" s="98" t="str">
        <f>"(50)"</f>
        <v>(50)</v>
      </c>
      <c r="M453" s="102" t="e">
        <f>M448</f>
        <v>#REF!</v>
      </c>
      <c r="N453" s="103" t="str">
        <f>"(50)"</f>
        <v>(50)</v>
      </c>
      <c r="O453" s="102" t="e">
        <f>O448</f>
        <v>#REF!</v>
      </c>
      <c r="P453" s="87" t="str">
        <f>"(50)"</f>
        <v>(50)</v>
      </c>
    </row>
    <row r="454" spans="2:16" ht="17" thickBot="1" x14ac:dyDescent="0.4">
      <c r="B454" s="160"/>
      <c r="C454" s="161"/>
      <c r="D454" s="161"/>
      <c r="E454" s="161"/>
      <c r="F454" s="161"/>
      <c r="G454" s="161"/>
      <c r="H454" s="193"/>
      <c r="I454" s="130" t="e">
        <f>SUM(K454+M454+O454)</f>
        <v>#REF!</v>
      </c>
      <c r="J454" s="131" t="str">
        <f>"(55)"</f>
        <v>(55)</v>
      </c>
      <c r="K454" s="93" t="e">
        <f>SUM(K449*1.2)</f>
        <v>#REF!</v>
      </c>
      <c r="L454" s="94" t="str">
        <f>"(55)"</f>
        <v>(55)</v>
      </c>
      <c r="M454" s="130" t="e">
        <f>SUM(M449*1.22)</f>
        <v>#REF!</v>
      </c>
      <c r="N454" s="131" t="str">
        <f>"(55)"</f>
        <v>(55)</v>
      </c>
      <c r="O454" s="130" t="e">
        <f>SUM(O449*1.22)</f>
        <v>#REF!</v>
      </c>
      <c r="P454" s="96" t="str">
        <f>"(55)"</f>
        <v>(55)</v>
      </c>
    </row>
    <row r="455" spans="2:16" ht="16.5" x14ac:dyDescent="0.35">
      <c r="B455" s="187" t="e">
        <f>'kuni 2025 detsember tegevuskava'!#REF!&amp;"/"&amp;'kuni 2025 detsember tegevuskava'!#REF!</f>
        <v>#REF!</v>
      </c>
      <c r="C455" s="156" t="e">
        <f>'kuni 2025 detsember tegevuskava'!#REF!</f>
        <v>#REF!</v>
      </c>
      <c r="D455" s="156" t="e">
        <f>'kuni 2025 detsember tegevuskava'!#REF!</f>
        <v>#REF!</v>
      </c>
      <c r="E455" s="156" t="e">
        <f>'kuni 2025 detsember tegevuskava'!#REF!</f>
        <v>#REF!</v>
      </c>
      <c r="F455" s="156" t="e">
        <f>'kuni 2025 detsember tegevuskava'!#REF!&amp;"/"</f>
        <v>#REF!</v>
      </c>
      <c r="G455" s="156" t="e" cm="1">
        <f t="array" ref="G455">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55" s="194" t="e" cm="1">
        <f t="array" ref="H455">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55" s="132" t="e">
        <f>SUM(I456:I458)</f>
        <v>#REF!</v>
      </c>
      <c r="J455" s="133"/>
      <c r="K455" s="81" t="e">
        <f>SUM(K456:K458)</f>
        <v>#REF!</v>
      </c>
      <c r="L455" s="83"/>
      <c r="M455" s="132" t="e">
        <f>SUM(M456:M458)</f>
        <v>#REF!</v>
      </c>
      <c r="N455" s="133"/>
      <c r="O455" s="81" t="e">
        <f>SUM(O456:O458)</f>
        <v>#REF!</v>
      </c>
      <c r="P455" s="85"/>
    </row>
    <row r="456" spans="2:16" ht="16.5" x14ac:dyDescent="0.35">
      <c r="B456" s="145"/>
      <c r="C456" s="8"/>
      <c r="D456" s="8"/>
      <c r="E456" s="8"/>
      <c r="F456" s="8"/>
      <c r="G456" s="8"/>
      <c r="H456" s="192"/>
      <c r="I456" s="102" t="e">
        <f>SUM(K456+M456+O456)</f>
        <v>#REF!</v>
      </c>
      <c r="J456" s="103" t="str">
        <f>"(15)"</f>
        <v>(15)</v>
      </c>
      <c r="K456" s="97" t="e">
        <f>'kuni 2025 detsember tegevuskava'!#REF!</f>
        <v>#REF!</v>
      </c>
      <c r="L456" s="98" t="str">
        <f>"(15)"</f>
        <v>(15)</v>
      </c>
      <c r="M456" s="102" t="e">
        <f>'kuni 2025 detsember tegevuskava'!#REF!</f>
        <v>#REF!</v>
      </c>
      <c r="N456" s="103" t="str">
        <f>"(15)"</f>
        <v>(15)</v>
      </c>
      <c r="O456" s="97" t="e">
        <f>'kuni 2025 detsember tegevuskava'!#REF!</f>
        <v>#REF!</v>
      </c>
      <c r="P456" s="87" t="str">
        <f>"(15)"</f>
        <v>(15)</v>
      </c>
    </row>
    <row r="457" spans="2:16" ht="16.5" x14ac:dyDescent="0.35">
      <c r="B457" s="145"/>
      <c r="C457" s="8"/>
      <c r="D457" s="8"/>
      <c r="E457" s="8"/>
      <c r="F457" s="8"/>
      <c r="G457" s="8"/>
      <c r="H457" s="192"/>
      <c r="I457" s="102" t="e">
        <f>SUM(K457+M457+O457)</f>
        <v>#REF!</v>
      </c>
      <c r="J457" s="103" t="str">
        <f>"(50)"</f>
        <v>(50)</v>
      </c>
      <c r="K457" s="97" t="e">
        <f>'kuni 2025 detsember tegevuskava'!#REF!</f>
        <v>#REF!</v>
      </c>
      <c r="L457" s="98" t="str">
        <f>"(50)"</f>
        <v>(50)</v>
      </c>
      <c r="M457" s="102" t="e">
        <f>'kuni 2025 detsember tegevuskava'!#REF!</f>
        <v>#REF!</v>
      </c>
      <c r="N457" s="103" t="str">
        <f>"(50)"</f>
        <v>(50)</v>
      </c>
      <c r="O457" s="97" t="e">
        <f>'kuni 2025 detsember tegevuskava'!#REF!</f>
        <v>#REF!</v>
      </c>
      <c r="P457" s="87" t="str">
        <f>"(50)"</f>
        <v>(50)</v>
      </c>
    </row>
    <row r="458" spans="2:16" ht="16.5" x14ac:dyDescent="0.35">
      <c r="B458" s="145"/>
      <c r="C458" s="8"/>
      <c r="D458" s="8"/>
      <c r="E458" s="8"/>
      <c r="F458" s="8"/>
      <c r="G458" s="8"/>
      <c r="H458" s="192"/>
      <c r="I458" s="104" t="e">
        <f>SUM(K458+M458+O458)</f>
        <v>#REF!</v>
      </c>
      <c r="J458" s="105" t="str">
        <f>"(55)"</f>
        <v>(55)</v>
      </c>
      <c r="K458" s="99" t="e">
        <f>'kuni 2025 detsember tegevuskava'!#REF!</f>
        <v>#REF!</v>
      </c>
      <c r="L458" s="88" t="str">
        <f>"(55)"</f>
        <v>(55)</v>
      </c>
      <c r="M458" s="104" t="e">
        <f>'kuni 2025 detsember tegevuskava'!#REF!</f>
        <v>#REF!</v>
      </c>
      <c r="N458" s="105" t="str">
        <f>"(55)"</f>
        <v>(55)</v>
      </c>
      <c r="O458" s="99" t="e">
        <f>'kuni 2025 detsember tegevuskava'!#REF!</f>
        <v>#REF!</v>
      </c>
      <c r="P458" s="90" t="str">
        <f>"(55)"</f>
        <v>(55)</v>
      </c>
    </row>
    <row r="459" spans="2:16" ht="16.5" x14ac:dyDescent="0.35">
      <c r="B459" s="145"/>
      <c r="C459" s="8"/>
      <c r="D459" s="8"/>
      <c r="E459" s="8"/>
      <c r="F459" s="8"/>
      <c r="G459" s="8"/>
      <c r="H459" s="192"/>
      <c r="I459" s="151" t="s">
        <v>553</v>
      </c>
      <c r="J459" s="8"/>
      <c r="K459" s="8"/>
      <c r="L459" s="8"/>
      <c r="M459" s="8"/>
      <c r="N459" s="8"/>
      <c r="O459" s="8"/>
      <c r="P459" s="159"/>
    </row>
    <row r="460" spans="2:16" ht="16.5" x14ac:dyDescent="0.35">
      <c r="B460" s="145"/>
      <c r="C460" s="8"/>
      <c r="D460" s="8"/>
      <c r="E460" s="8"/>
      <c r="F460" s="8"/>
      <c r="G460" s="8"/>
      <c r="H460" s="192"/>
      <c r="I460" s="100" t="e">
        <f>SUM(I461:I463)</f>
        <v>#REF!</v>
      </c>
      <c r="J460" s="101"/>
      <c r="K460" s="91" t="e">
        <f>SUM(K461:K463)</f>
        <v>#REF!</v>
      </c>
      <c r="L460" s="92"/>
      <c r="M460" s="100" t="e">
        <f>SUM(M461:M463)</f>
        <v>#REF!</v>
      </c>
      <c r="N460" s="106"/>
      <c r="O460" s="100" t="e">
        <f>SUM(O461:O463)</f>
        <v>#REF!</v>
      </c>
      <c r="P460" s="134"/>
    </row>
    <row r="461" spans="2:16" ht="16.5" x14ac:dyDescent="0.35">
      <c r="B461" s="145"/>
      <c r="C461" s="8"/>
      <c r="D461" s="8"/>
      <c r="E461" s="8"/>
      <c r="F461" s="8"/>
      <c r="G461" s="8"/>
      <c r="H461" s="192"/>
      <c r="I461" s="102" t="e">
        <f>SUM(K461+M461+O461)</f>
        <v>#REF!</v>
      </c>
      <c r="J461" s="103" t="str">
        <f>"(15)"</f>
        <v>(15)</v>
      </c>
      <c r="K461" s="97" t="e">
        <f>SUM(K456*1.2)</f>
        <v>#REF!</v>
      </c>
      <c r="L461" s="98" t="str">
        <f>"(15)"</f>
        <v>(15)</v>
      </c>
      <c r="M461" s="102" t="e">
        <f>SUM(M456*1.22)</f>
        <v>#REF!</v>
      </c>
      <c r="N461" s="103" t="str">
        <f>"(15)"</f>
        <v>(15)</v>
      </c>
      <c r="O461" s="102" t="e">
        <f>SUM(O456*1.22)</f>
        <v>#REF!</v>
      </c>
      <c r="P461" s="87" t="str">
        <f>"(15)"</f>
        <v>(15)</v>
      </c>
    </row>
    <row r="462" spans="2:16" ht="16.5" x14ac:dyDescent="0.35">
      <c r="B462" s="145"/>
      <c r="C462" s="8"/>
      <c r="D462" s="8"/>
      <c r="E462" s="8"/>
      <c r="F462" s="8"/>
      <c r="G462" s="8"/>
      <c r="H462" s="192"/>
      <c r="I462" s="102" t="e">
        <f>SUM(K462+M462+O462)</f>
        <v>#REF!</v>
      </c>
      <c r="J462" s="103" t="str">
        <f>"(50)"</f>
        <v>(50)</v>
      </c>
      <c r="K462" s="97" t="e">
        <f>K457</f>
        <v>#REF!</v>
      </c>
      <c r="L462" s="98" t="str">
        <f>"(50)"</f>
        <v>(50)</v>
      </c>
      <c r="M462" s="102" t="e">
        <f>M457</f>
        <v>#REF!</v>
      </c>
      <c r="N462" s="103" t="str">
        <f>"(50)"</f>
        <v>(50)</v>
      </c>
      <c r="O462" s="102" t="e">
        <f>O457</f>
        <v>#REF!</v>
      </c>
      <c r="P462" s="87" t="str">
        <f>"(50)"</f>
        <v>(50)</v>
      </c>
    </row>
    <row r="463" spans="2:16" ht="17" thickBot="1" x14ac:dyDescent="0.4">
      <c r="B463" s="160"/>
      <c r="C463" s="161"/>
      <c r="D463" s="161"/>
      <c r="E463" s="161"/>
      <c r="F463" s="161"/>
      <c r="G463" s="161"/>
      <c r="H463" s="193"/>
      <c r="I463" s="130" t="e">
        <f>SUM(K463+M463+O463)</f>
        <v>#REF!</v>
      </c>
      <c r="J463" s="131" t="str">
        <f>"(55)"</f>
        <v>(55)</v>
      </c>
      <c r="K463" s="93" t="e">
        <f>SUM(K458*1.2)</f>
        <v>#REF!</v>
      </c>
      <c r="L463" s="94" t="str">
        <f>"(55)"</f>
        <v>(55)</v>
      </c>
      <c r="M463" s="130" t="e">
        <f>SUM(M458*1.22)</f>
        <v>#REF!</v>
      </c>
      <c r="N463" s="131" t="str">
        <f>"(55)"</f>
        <v>(55)</v>
      </c>
      <c r="O463" s="130" t="e">
        <f>SUM(O458*1.22)</f>
        <v>#REF!</v>
      </c>
      <c r="P463" s="96" t="str">
        <f>"(55)"</f>
        <v>(55)</v>
      </c>
    </row>
    <row r="464" spans="2:16" ht="16.5" x14ac:dyDescent="0.35">
      <c r="B464" s="187" t="e">
        <f>'kuni 2025 detsember tegevuskava'!#REF!&amp;"/"&amp;'kuni 2025 detsember tegevuskava'!#REF!</f>
        <v>#REF!</v>
      </c>
      <c r="C464" s="156" t="e">
        <f>'kuni 2025 detsember tegevuskava'!#REF!</f>
        <v>#REF!</v>
      </c>
      <c r="D464" s="156" t="e">
        <f>'kuni 2025 detsember tegevuskava'!#REF!</f>
        <v>#REF!</v>
      </c>
      <c r="E464" s="156" t="e">
        <f>'kuni 2025 detsember tegevuskava'!#REF!</f>
        <v>#REF!</v>
      </c>
      <c r="F464" s="156" t="e">
        <f>'kuni 2025 detsember tegevuskava'!#REF!&amp;"/"</f>
        <v>#REF!</v>
      </c>
      <c r="G464" s="156" t="e" cm="1">
        <f t="array" ref="G464">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64" s="194" t="e" cm="1">
        <f t="array" ref="H464">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64" s="132" t="e">
        <f>SUM(I465:I467)</f>
        <v>#REF!</v>
      </c>
      <c r="J464" s="133"/>
      <c r="K464" s="81" t="e">
        <f>SUM(K465:K467)</f>
        <v>#REF!</v>
      </c>
      <c r="L464" s="83"/>
      <c r="M464" s="132" t="e">
        <f>SUM(M465:M467)</f>
        <v>#REF!</v>
      </c>
      <c r="N464" s="133"/>
      <c r="O464" s="81" t="e">
        <f>SUM(O465:O467)</f>
        <v>#REF!</v>
      </c>
      <c r="P464" s="85"/>
    </row>
    <row r="465" spans="2:16" ht="16.5" x14ac:dyDescent="0.35">
      <c r="B465" s="145"/>
      <c r="C465" s="8"/>
      <c r="D465" s="8"/>
      <c r="E465" s="8"/>
      <c r="F465" s="8"/>
      <c r="G465" s="8"/>
      <c r="H465" s="192"/>
      <c r="I465" s="102" t="e">
        <f>SUM(K465+M465+O465)</f>
        <v>#REF!</v>
      </c>
      <c r="J465" s="103" t="str">
        <f>"(15)"</f>
        <v>(15)</v>
      </c>
      <c r="K465" s="97" t="e">
        <f>'kuni 2025 detsember tegevuskava'!#REF!</f>
        <v>#REF!</v>
      </c>
      <c r="L465" s="98" t="str">
        <f>"(15)"</f>
        <v>(15)</v>
      </c>
      <c r="M465" s="102" t="e">
        <f>'kuni 2025 detsember tegevuskava'!#REF!</f>
        <v>#REF!</v>
      </c>
      <c r="N465" s="103" t="str">
        <f>"(15)"</f>
        <v>(15)</v>
      </c>
      <c r="O465" s="97" t="e">
        <f>'kuni 2025 detsember tegevuskava'!#REF!</f>
        <v>#REF!</v>
      </c>
      <c r="P465" s="87" t="str">
        <f>"(15)"</f>
        <v>(15)</v>
      </c>
    </row>
    <row r="466" spans="2:16" ht="16.5" x14ac:dyDescent="0.35">
      <c r="B466" s="145"/>
      <c r="C466" s="8"/>
      <c r="D466" s="8"/>
      <c r="E466" s="8"/>
      <c r="F466" s="8"/>
      <c r="G466" s="8"/>
      <c r="H466" s="192"/>
      <c r="I466" s="102" t="e">
        <f>SUM(K466+M466+O466)</f>
        <v>#REF!</v>
      </c>
      <c r="J466" s="103" t="str">
        <f>"(50)"</f>
        <v>(50)</v>
      </c>
      <c r="K466" s="97" t="e">
        <f>'kuni 2025 detsember tegevuskava'!#REF!</f>
        <v>#REF!</v>
      </c>
      <c r="L466" s="98" t="str">
        <f>"(50)"</f>
        <v>(50)</v>
      </c>
      <c r="M466" s="102" t="e">
        <f>'kuni 2025 detsember tegevuskava'!#REF!</f>
        <v>#REF!</v>
      </c>
      <c r="N466" s="103" t="str">
        <f>"(50)"</f>
        <v>(50)</v>
      </c>
      <c r="O466" s="97" t="e">
        <f>'kuni 2025 detsember tegevuskava'!#REF!</f>
        <v>#REF!</v>
      </c>
      <c r="P466" s="87" t="str">
        <f>"(50)"</f>
        <v>(50)</v>
      </c>
    </row>
    <row r="467" spans="2:16" ht="16.5" x14ac:dyDescent="0.35">
      <c r="B467" s="145"/>
      <c r="C467" s="8"/>
      <c r="D467" s="8"/>
      <c r="E467" s="8"/>
      <c r="F467" s="8"/>
      <c r="G467" s="8"/>
      <c r="H467" s="192"/>
      <c r="I467" s="104" t="e">
        <f>SUM(K467+M467+O467)</f>
        <v>#REF!</v>
      </c>
      <c r="J467" s="105" t="str">
        <f>"(55)"</f>
        <v>(55)</v>
      </c>
      <c r="K467" s="99" t="e">
        <f>'kuni 2025 detsember tegevuskava'!#REF!</f>
        <v>#REF!</v>
      </c>
      <c r="L467" s="88" t="str">
        <f>"(55)"</f>
        <v>(55)</v>
      </c>
      <c r="M467" s="104" t="e">
        <f>'kuni 2025 detsember tegevuskava'!#REF!</f>
        <v>#REF!</v>
      </c>
      <c r="N467" s="105" t="str">
        <f>"(55)"</f>
        <v>(55)</v>
      </c>
      <c r="O467" s="99" t="e">
        <f>'kuni 2025 detsember tegevuskava'!#REF!</f>
        <v>#REF!</v>
      </c>
      <c r="P467" s="90" t="str">
        <f>"(55)"</f>
        <v>(55)</v>
      </c>
    </row>
    <row r="468" spans="2:16" ht="16.5" x14ac:dyDescent="0.35">
      <c r="B468" s="145"/>
      <c r="C468" s="8"/>
      <c r="D468" s="8"/>
      <c r="E468" s="8"/>
      <c r="F468" s="8"/>
      <c r="G468" s="8"/>
      <c r="H468" s="192"/>
      <c r="I468" s="151" t="s">
        <v>553</v>
      </c>
      <c r="J468" s="8"/>
      <c r="K468" s="8"/>
      <c r="L468" s="8"/>
      <c r="M468" s="8"/>
      <c r="N468" s="8"/>
      <c r="O468" s="8"/>
      <c r="P468" s="159"/>
    </row>
    <row r="469" spans="2:16" ht="16.5" x14ac:dyDescent="0.35">
      <c r="B469" s="145"/>
      <c r="C469" s="8"/>
      <c r="D469" s="8"/>
      <c r="E469" s="8"/>
      <c r="F469" s="8"/>
      <c r="G469" s="8"/>
      <c r="H469" s="192"/>
      <c r="I469" s="100" t="e">
        <f>SUM(I470:I472)</f>
        <v>#REF!</v>
      </c>
      <c r="J469" s="101"/>
      <c r="K469" s="91" t="e">
        <f>SUM(K470:K472)</f>
        <v>#REF!</v>
      </c>
      <c r="L469" s="92"/>
      <c r="M469" s="100" t="e">
        <f>SUM(M470:M472)</f>
        <v>#REF!</v>
      </c>
      <c r="N469" s="106"/>
      <c r="O469" s="100" t="e">
        <f>SUM(O470:O472)</f>
        <v>#REF!</v>
      </c>
      <c r="P469" s="134"/>
    </row>
    <row r="470" spans="2:16" ht="16.5" x14ac:dyDescent="0.35">
      <c r="B470" s="145"/>
      <c r="C470" s="8"/>
      <c r="D470" s="8"/>
      <c r="E470" s="8"/>
      <c r="F470" s="8"/>
      <c r="G470" s="8"/>
      <c r="H470" s="192"/>
      <c r="I470" s="102" t="e">
        <f>SUM(K470+M470+O470)</f>
        <v>#REF!</v>
      </c>
      <c r="J470" s="103" t="str">
        <f>"(15)"</f>
        <v>(15)</v>
      </c>
      <c r="K470" s="97" t="e">
        <f>SUM(K465*1.2)</f>
        <v>#REF!</v>
      </c>
      <c r="L470" s="98" t="str">
        <f>"(15)"</f>
        <v>(15)</v>
      </c>
      <c r="M470" s="102" t="e">
        <f>SUM(M465*1.22)</f>
        <v>#REF!</v>
      </c>
      <c r="N470" s="103" t="str">
        <f>"(15)"</f>
        <v>(15)</v>
      </c>
      <c r="O470" s="102" t="e">
        <f>SUM(O465*1.22)</f>
        <v>#REF!</v>
      </c>
      <c r="P470" s="87" t="str">
        <f>"(15)"</f>
        <v>(15)</v>
      </c>
    </row>
    <row r="471" spans="2:16" ht="16.5" x14ac:dyDescent="0.35">
      <c r="B471" s="145"/>
      <c r="C471" s="8"/>
      <c r="D471" s="8"/>
      <c r="E471" s="8"/>
      <c r="F471" s="8"/>
      <c r="G471" s="8"/>
      <c r="H471" s="192"/>
      <c r="I471" s="102" t="e">
        <f>SUM(K471+M471+O471)</f>
        <v>#REF!</v>
      </c>
      <c r="J471" s="103" t="str">
        <f>"(50)"</f>
        <v>(50)</v>
      </c>
      <c r="K471" s="97" t="e">
        <f>K466</f>
        <v>#REF!</v>
      </c>
      <c r="L471" s="98" t="str">
        <f>"(50)"</f>
        <v>(50)</v>
      </c>
      <c r="M471" s="102" t="e">
        <f>M466</f>
        <v>#REF!</v>
      </c>
      <c r="N471" s="103" t="str">
        <f>"(50)"</f>
        <v>(50)</v>
      </c>
      <c r="O471" s="102" t="e">
        <f>O466</f>
        <v>#REF!</v>
      </c>
      <c r="P471" s="87" t="str">
        <f>"(50)"</f>
        <v>(50)</v>
      </c>
    </row>
    <row r="472" spans="2:16" ht="17" thickBot="1" x14ac:dyDescent="0.4">
      <c r="B472" s="160"/>
      <c r="C472" s="161"/>
      <c r="D472" s="161"/>
      <c r="E472" s="161"/>
      <c r="F472" s="161"/>
      <c r="G472" s="161"/>
      <c r="H472" s="193"/>
      <c r="I472" s="130" t="e">
        <f>SUM(K472+M472+O472)</f>
        <v>#REF!</v>
      </c>
      <c r="J472" s="131" t="str">
        <f>"(55)"</f>
        <v>(55)</v>
      </c>
      <c r="K472" s="93" t="e">
        <f>SUM(K467*1.2)</f>
        <v>#REF!</v>
      </c>
      <c r="L472" s="94" t="str">
        <f>"(55)"</f>
        <v>(55)</v>
      </c>
      <c r="M472" s="130" t="e">
        <f>SUM(M467*1.22)</f>
        <v>#REF!</v>
      </c>
      <c r="N472" s="131" t="str">
        <f>"(55)"</f>
        <v>(55)</v>
      </c>
      <c r="O472" s="130" t="e">
        <f>SUM(O467*1.22)</f>
        <v>#REF!</v>
      </c>
      <c r="P472" s="96" t="str">
        <f>"(55)"</f>
        <v>(55)</v>
      </c>
    </row>
    <row r="473" spans="2:16" ht="16.5" x14ac:dyDescent="0.35">
      <c r="B473" s="187" t="e">
        <f>'kuni 2025 detsember tegevuskava'!#REF!&amp;"/"&amp;'kuni 2025 detsember tegevuskava'!#REF!</f>
        <v>#REF!</v>
      </c>
      <c r="C473" s="156" t="e">
        <f>'kuni 2025 detsember tegevuskava'!#REF!</f>
        <v>#REF!</v>
      </c>
      <c r="D473" s="156" t="e">
        <f>'kuni 2025 detsember tegevuskava'!#REF!</f>
        <v>#REF!</v>
      </c>
      <c r="E473" s="156" t="e">
        <f>'kuni 2025 detsember tegevuskava'!#REF!</f>
        <v>#REF!</v>
      </c>
      <c r="F473" s="156" t="e">
        <f>'kuni 2025 detsember tegevuskava'!#REF!&amp;"/"</f>
        <v>#REF!</v>
      </c>
      <c r="G473" s="156" t="e" cm="1">
        <f t="array" ref="G473">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73" s="194" t="e" cm="1">
        <f t="array" ref="H473">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73" s="132" t="e">
        <f>SUM(I474:I476)</f>
        <v>#REF!</v>
      </c>
      <c r="J473" s="133"/>
      <c r="K473" s="81" t="e">
        <f>SUM(K474:K476)</f>
        <v>#REF!</v>
      </c>
      <c r="L473" s="83"/>
      <c r="M473" s="132" t="e">
        <f>SUM(M474:M476)</f>
        <v>#REF!</v>
      </c>
      <c r="N473" s="133"/>
      <c r="O473" s="81" t="e">
        <f>SUM(O474:O476)</f>
        <v>#REF!</v>
      </c>
      <c r="P473" s="85"/>
    </row>
    <row r="474" spans="2:16" ht="16.5" x14ac:dyDescent="0.35">
      <c r="B474" s="145"/>
      <c r="C474" s="8"/>
      <c r="D474" s="8"/>
      <c r="E474" s="8"/>
      <c r="F474" s="8"/>
      <c r="G474" s="8"/>
      <c r="H474" s="192"/>
      <c r="I474" s="102" t="e">
        <f>SUM(K474+M474+O474)</f>
        <v>#REF!</v>
      </c>
      <c r="J474" s="103" t="str">
        <f>"(15)"</f>
        <v>(15)</v>
      </c>
      <c r="K474" s="97" t="e">
        <f>'kuni 2025 detsember tegevuskava'!#REF!</f>
        <v>#REF!</v>
      </c>
      <c r="L474" s="98" t="str">
        <f>"(15)"</f>
        <v>(15)</v>
      </c>
      <c r="M474" s="102" t="e">
        <f>'kuni 2025 detsember tegevuskava'!#REF!</f>
        <v>#REF!</v>
      </c>
      <c r="N474" s="103" t="str">
        <f>"(15)"</f>
        <v>(15)</v>
      </c>
      <c r="O474" s="97" t="e">
        <f>'kuni 2025 detsember tegevuskava'!#REF!</f>
        <v>#REF!</v>
      </c>
      <c r="P474" s="87" t="str">
        <f>"(15)"</f>
        <v>(15)</v>
      </c>
    </row>
    <row r="475" spans="2:16" ht="16.5" x14ac:dyDescent="0.35">
      <c r="B475" s="145"/>
      <c r="C475" s="8"/>
      <c r="D475" s="8"/>
      <c r="E475" s="8"/>
      <c r="F475" s="8"/>
      <c r="G475" s="8"/>
      <c r="H475" s="192"/>
      <c r="I475" s="102" t="e">
        <f>SUM(K475+M475+O475)</f>
        <v>#REF!</v>
      </c>
      <c r="J475" s="103" t="str">
        <f>"(50)"</f>
        <v>(50)</v>
      </c>
      <c r="K475" s="97" t="e">
        <f>'kuni 2025 detsember tegevuskava'!#REF!</f>
        <v>#REF!</v>
      </c>
      <c r="L475" s="98" t="str">
        <f>"(50)"</f>
        <v>(50)</v>
      </c>
      <c r="M475" s="102" t="e">
        <f>'kuni 2025 detsember tegevuskava'!#REF!</f>
        <v>#REF!</v>
      </c>
      <c r="N475" s="103" t="str">
        <f>"(50)"</f>
        <v>(50)</v>
      </c>
      <c r="O475" s="97" t="e">
        <f>'kuni 2025 detsember tegevuskava'!#REF!</f>
        <v>#REF!</v>
      </c>
      <c r="P475" s="87" t="str">
        <f>"(50)"</f>
        <v>(50)</v>
      </c>
    </row>
    <row r="476" spans="2:16" ht="16.5" x14ac:dyDescent="0.35">
      <c r="B476" s="145"/>
      <c r="C476" s="8"/>
      <c r="D476" s="8"/>
      <c r="E476" s="8"/>
      <c r="F476" s="8"/>
      <c r="G476" s="8"/>
      <c r="H476" s="192"/>
      <c r="I476" s="104" t="e">
        <f>SUM(K476+M476+O476)</f>
        <v>#REF!</v>
      </c>
      <c r="J476" s="105" t="str">
        <f>"(55)"</f>
        <v>(55)</v>
      </c>
      <c r="K476" s="99" t="e">
        <f>'kuni 2025 detsember tegevuskava'!#REF!</f>
        <v>#REF!</v>
      </c>
      <c r="L476" s="88" t="str">
        <f>"(55)"</f>
        <v>(55)</v>
      </c>
      <c r="M476" s="104" t="e">
        <f>'kuni 2025 detsember tegevuskava'!#REF!</f>
        <v>#REF!</v>
      </c>
      <c r="N476" s="105" t="str">
        <f>"(55)"</f>
        <v>(55)</v>
      </c>
      <c r="O476" s="99" t="e">
        <f>'kuni 2025 detsember tegevuskava'!#REF!</f>
        <v>#REF!</v>
      </c>
      <c r="P476" s="90" t="str">
        <f>"(55)"</f>
        <v>(55)</v>
      </c>
    </row>
    <row r="477" spans="2:16" ht="16.5" x14ac:dyDescent="0.35">
      <c r="B477" s="145"/>
      <c r="C477" s="8"/>
      <c r="D477" s="8"/>
      <c r="E477" s="8"/>
      <c r="F477" s="8"/>
      <c r="G477" s="8"/>
      <c r="H477" s="192"/>
      <c r="I477" s="151" t="s">
        <v>553</v>
      </c>
      <c r="J477" s="8"/>
      <c r="K477" s="8"/>
      <c r="L477" s="8"/>
      <c r="M477" s="8"/>
      <c r="N477" s="8"/>
      <c r="O477" s="8"/>
      <c r="P477" s="159"/>
    </row>
    <row r="478" spans="2:16" ht="16.5" x14ac:dyDescent="0.35">
      <c r="B478" s="145"/>
      <c r="C478" s="8"/>
      <c r="D478" s="8"/>
      <c r="E478" s="8"/>
      <c r="F478" s="8"/>
      <c r="G478" s="8"/>
      <c r="H478" s="192"/>
      <c r="I478" s="100" t="e">
        <f>SUM(I479:I481)</f>
        <v>#REF!</v>
      </c>
      <c r="J478" s="101"/>
      <c r="K478" s="91" t="e">
        <f>SUM(K479:K481)</f>
        <v>#REF!</v>
      </c>
      <c r="L478" s="92"/>
      <c r="M478" s="100" t="e">
        <f>SUM(M479:M481)</f>
        <v>#REF!</v>
      </c>
      <c r="N478" s="106"/>
      <c r="O478" s="100" t="e">
        <f>SUM(O479:O481)</f>
        <v>#REF!</v>
      </c>
      <c r="P478" s="134"/>
    </row>
    <row r="479" spans="2:16" ht="16.5" x14ac:dyDescent="0.35">
      <c r="B479" s="145"/>
      <c r="C479" s="8"/>
      <c r="D479" s="8"/>
      <c r="E479" s="8"/>
      <c r="F479" s="8"/>
      <c r="G479" s="8"/>
      <c r="H479" s="192"/>
      <c r="I479" s="102" t="e">
        <f>SUM(K479+M479+O479)</f>
        <v>#REF!</v>
      </c>
      <c r="J479" s="103" t="str">
        <f>"(15)"</f>
        <v>(15)</v>
      </c>
      <c r="K479" s="97" t="e">
        <f>SUM(K474*1.2)</f>
        <v>#REF!</v>
      </c>
      <c r="L479" s="98" t="str">
        <f>"(15)"</f>
        <v>(15)</v>
      </c>
      <c r="M479" s="102" t="e">
        <f>SUM(M474*1.22)</f>
        <v>#REF!</v>
      </c>
      <c r="N479" s="103" t="str">
        <f>"(15)"</f>
        <v>(15)</v>
      </c>
      <c r="O479" s="102" t="e">
        <f>SUM(O474*1.22)</f>
        <v>#REF!</v>
      </c>
      <c r="P479" s="87" t="str">
        <f>"(15)"</f>
        <v>(15)</v>
      </c>
    </row>
    <row r="480" spans="2:16" ht="16.5" x14ac:dyDescent="0.35">
      <c r="B480" s="145"/>
      <c r="C480" s="8"/>
      <c r="D480" s="8"/>
      <c r="E480" s="8"/>
      <c r="F480" s="8"/>
      <c r="G480" s="8"/>
      <c r="H480" s="192"/>
      <c r="I480" s="102" t="e">
        <f>SUM(K480+M480+O480)</f>
        <v>#REF!</v>
      </c>
      <c r="J480" s="103" t="str">
        <f>"(50)"</f>
        <v>(50)</v>
      </c>
      <c r="K480" s="97" t="e">
        <f>K475</f>
        <v>#REF!</v>
      </c>
      <c r="L480" s="98" t="str">
        <f>"(50)"</f>
        <v>(50)</v>
      </c>
      <c r="M480" s="102" t="e">
        <f>M475</f>
        <v>#REF!</v>
      </c>
      <c r="N480" s="103" t="str">
        <f>"(50)"</f>
        <v>(50)</v>
      </c>
      <c r="O480" s="102" t="e">
        <f>O475</f>
        <v>#REF!</v>
      </c>
      <c r="P480" s="87" t="str">
        <f>"(50)"</f>
        <v>(50)</v>
      </c>
    </row>
    <row r="481" spans="2:16" ht="17" thickBot="1" x14ac:dyDescent="0.4">
      <c r="B481" s="160"/>
      <c r="C481" s="161"/>
      <c r="D481" s="161"/>
      <c r="E481" s="161"/>
      <c r="F481" s="161"/>
      <c r="G481" s="161"/>
      <c r="H481" s="193"/>
      <c r="I481" s="130" t="e">
        <f>SUM(K481+M481+O481)</f>
        <v>#REF!</v>
      </c>
      <c r="J481" s="131" t="str">
        <f>"(55)"</f>
        <v>(55)</v>
      </c>
      <c r="K481" s="93" t="e">
        <f>SUM(K476*1.2)</f>
        <v>#REF!</v>
      </c>
      <c r="L481" s="94" t="str">
        <f>"(55)"</f>
        <v>(55)</v>
      </c>
      <c r="M481" s="130" t="e">
        <f>SUM(M476*1.22)</f>
        <v>#REF!</v>
      </c>
      <c r="N481" s="131" t="str">
        <f>"(55)"</f>
        <v>(55)</v>
      </c>
      <c r="O481" s="130" t="e">
        <f>SUM(O476*1.22)</f>
        <v>#REF!</v>
      </c>
      <c r="P481" s="96" t="str">
        <f>"(55)"</f>
        <v>(55)</v>
      </c>
    </row>
    <row r="482" spans="2:16" ht="16.5" x14ac:dyDescent="0.35">
      <c r="B482" s="187" t="e">
        <f>'kuni 2025 detsember tegevuskava'!#REF!&amp;"/"&amp;'kuni 2025 detsember tegevuskava'!#REF!</f>
        <v>#REF!</v>
      </c>
      <c r="C482" s="156" t="e">
        <f>'kuni 2025 detsember tegevuskava'!#REF!</f>
        <v>#REF!</v>
      </c>
      <c r="D482" s="156" t="e">
        <f>'kuni 2025 detsember tegevuskava'!#REF!</f>
        <v>#REF!</v>
      </c>
      <c r="E482" s="156" t="e">
        <f>'kuni 2025 detsember tegevuskava'!#REF!</f>
        <v>#REF!</v>
      </c>
      <c r="F482" s="156" t="e">
        <f>'kuni 2025 detsember tegevuskava'!#REF!&amp;"/"</f>
        <v>#REF!</v>
      </c>
      <c r="G482" s="156" t="e" cm="1">
        <f t="array" ref="G482">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82" s="194" t="e" cm="1">
        <f t="array" ref="H482">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82" s="132" t="e">
        <f>SUM(I483:I485)</f>
        <v>#REF!</v>
      </c>
      <c r="J482" s="133"/>
      <c r="K482" s="81" t="e">
        <f>SUM(K483:K485)</f>
        <v>#REF!</v>
      </c>
      <c r="L482" s="83"/>
      <c r="M482" s="132" t="e">
        <f>SUM(M483:M485)</f>
        <v>#REF!</v>
      </c>
      <c r="N482" s="133"/>
      <c r="O482" s="81" t="e">
        <f>SUM(O483:O485)</f>
        <v>#REF!</v>
      </c>
      <c r="P482" s="85"/>
    </row>
    <row r="483" spans="2:16" ht="16.5" x14ac:dyDescent="0.35">
      <c r="B483" s="145"/>
      <c r="C483" s="8"/>
      <c r="D483" s="8"/>
      <c r="E483" s="8"/>
      <c r="F483" s="8"/>
      <c r="G483" s="8"/>
      <c r="H483" s="192"/>
      <c r="I483" s="102" t="e">
        <f>SUM(K483+M483+O483)</f>
        <v>#REF!</v>
      </c>
      <c r="J483" s="103" t="str">
        <f>"(15)"</f>
        <v>(15)</v>
      </c>
      <c r="K483" s="97" t="e">
        <f>'kuni 2025 detsember tegevuskava'!#REF!</f>
        <v>#REF!</v>
      </c>
      <c r="L483" s="98" t="str">
        <f>"(15)"</f>
        <v>(15)</v>
      </c>
      <c r="M483" s="102" t="e">
        <f>'kuni 2025 detsember tegevuskava'!#REF!</f>
        <v>#REF!</v>
      </c>
      <c r="N483" s="103" t="str">
        <f>"(15)"</f>
        <v>(15)</v>
      </c>
      <c r="O483" s="97" t="e">
        <f>'kuni 2025 detsember tegevuskava'!#REF!</f>
        <v>#REF!</v>
      </c>
      <c r="P483" s="87" t="str">
        <f>"(15)"</f>
        <v>(15)</v>
      </c>
    </row>
    <row r="484" spans="2:16" ht="16.5" x14ac:dyDescent="0.35">
      <c r="B484" s="145"/>
      <c r="C484" s="8"/>
      <c r="D484" s="8"/>
      <c r="E484" s="8"/>
      <c r="F484" s="8"/>
      <c r="G484" s="8"/>
      <c r="H484" s="192"/>
      <c r="I484" s="102" t="e">
        <f>SUM(K484+M484+O484)</f>
        <v>#REF!</v>
      </c>
      <c r="J484" s="103" t="str">
        <f>"(50)"</f>
        <v>(50)</v>
      </c>
      <c r="K484" s="97" t="e">
        <f>'kuni 2025 detsember tegevuskava'!#REF!</f>
        <v>#REF!</v>
      </c>
      <c r="L484" s="98" t="str">
        <f>"(50)"</f>
        <v>(50)</v>
      </c>
      <c r="M484" s="102" t="e">
        <f>'kuni 2025 detsember tegevuskava'!#REF!</f>
        <v>#REF!</v>
      </c>
      <c r="N484" s="103" t="str">
        <f>"(50)"</f>
        <v>(50)</v>
      </c>
      <c r="O484" s="97" t="e">
        <f>'kuni 2025 detsember tegevuskava'!#REF!</f>
        <v>#REF!</v>
      </c>
      <c r="P484" s="87" t="str">
        <f>"(50)"</f>
        <v>(50)</v>
      </c>
    </row>
    <row r="485" spans="2:16" ht="16.5" x14ac:dyDescent="0.35">
      <c r="B485" s="145"/>
      <c r="C485" s="8"/>
      <c r="D485" s="8"/>
      <c r="E485" s="8"/>
      <c r="F485" s="8"/>
      <c r="G485" s="8"/>
      <c r="H485" s="192"/>
      <c r="I485" s="104" t="e">
        <f>SUM(K485+M485+O485)</f>
        <v>#REF!</v>
      </c>
      <c r="J485" s="105" t="str">
        <f>"(55)"</f>
        <v>(55)</v>
      </c>
      <c r="K485" s="99" t="e">
        <f>'kuni 2025 detsember tegevuskava'!#REF!</f>
        <v>#REF!</v>
      </c>
      <c r="L485" s="88" t="str">
        <f>"(55)"</f>
        <v>(55)</v>
      </c>
      <c r="M485" s="104" t="e">
        <f>'kuni 2025 detsember tegevuskava'!#REF!</f>
        <v>#REF!</v>
      </c>
      <c r="N485" s="105" t="str">
        <f>"(55)"</f>
        <v>(55)</v>
      </c>
      <c r="O485" s="99" t="e">
        <f>'kuni 2025 detsember tegevuskava'!#REF!</f>
        <v>#REF!</v>
      </c>
      <c r="P485" s="90" t="str">
        <f>"(55)"</f>
        <v>(55)</v>
      </c>
    </row>
    <row r="486" spans="2:16" ht="16.5" x14ac:dyDescent="0.35">
      <c r="B486" s="145"/>
      <c r="C486" s="8"/>
      <c r="D486" s="8"/>
      <c r="E486" s="8"/>
      <c r="F486" s="8"/>
      <c r="G486" s="8"/>
      <c r="H486" s="192"/>
      <c r="I486" s="151" t="s">
        <v>553</v>
      </c>
      <c r="J486" s="8"/>
      <c r="K486" s="8"/>
      <c r="L486" s="8"/>
      <c r="M486" s="8"/>
      <c r="N486" s="8"/>
      <c r="O486" s="8"/>
      <c r="P486" s="159"/>
    </row>
    <row r="487" spans="2:16" ht="16.5" x14ac:dyDescent="0.35">
      <c r="B487" s="145"/>
      <c r="C487" s="8"/>
      <c r="D487" s="8"/>
      <c r="E487" s="8"/>
      <c r="F487" s="8"/>
      <c r="G487" s="8"/>
      <c r="H487" s="192"/>
      <c r="I487" s="100" t="e">
        <f>SUM(I488:I490)</f>
        <v>#REF!</v>
      </c>
      <c r="J487" s="101"/>
      <c r="K487" s="91" t="e">
        <f>SUM(K488:K490)</f>
        <v>#REF!</v>
      </c>
      <c r="L487" s="92"/>
      <c r="M487" s="100" t="e">
        <f>SUM(M488:M490)</f>
        <v>#REF!</v>
      </c>
      <c r="N487" s="106"/>
      <c r="O487" s="100" t="e">
        <f>SUM(O488:O490)</f>
        <v>#REF!</v>
      </c>
      <c r="P487" s="134"/>
    </row>
    <row r="488" spans="2:16" ht="16.5" x14ac:dyDescent="0.35">
      <c r="B488" s="145"/>
      <c r="C488" s="8"/>
      <c r="D488" s="8"/>
      <c r="E488" s="8"/>
      <c r="F488" s="8"/>
      <c r="G488" s="8"/>
      <c r="H488" s="192"/>
      <c r="I488" s="102" t="e">
        <f>SUM(K488+M488+O488)</f>
        <v>#REF!</v>
      </c>
      <c r="J488" s="103" t="str">
        <f>"(15)"</f>
        <v>(15)</v>
      </c>
      <c r="K488" s="97" t="e">
        <f>SUM(K483*1.2)</f>
        <v>#REF!</v>
      </c>
      <c r="L488" s="98" t="str">
        <f>"(15)"</f>
        <v>(15)</v>
      </c>
      <c r="M488" s="102" t="e">
        <f>SUM(M483*1.22)</f>
        <v>#REF!</v>
      </c>
      <c r="N488" s="103" t="str">
        <f>"(15)"</f>
        <v>(15)</v>
      </c>
      <c r="O488" s="102" t="e">
        <f>SUM(O483*1.22)</f>
        <v>#REF!</v>
      </c>
      <c r="P488" s="87" t="str">
        <f>"(15)"</f>
        <v>(15)</v>
      </c>
    </row>
    <row r="489" spans="2:16" ht="16.5" x14ac:dyDescent="0.35">
      <c r="B489" s="145"/>
      <c r="C489" s="8"/>
      <c r="D489" s="8"/>
      <c r="E489" s="8"/>
      <c r="F489" s="8"/>
      <c r="G489" s="8"/>
      <c r="H489" s="192"/>
      <c r="I489" s="102" t="e">
        <f>SUM(K489+M489+O489)</f>
        <v>#REF!</v>
      </c>
      <c r="J489" s="103" t="str">
        <f>"(50)"</f>
        <v>(50)</v>
      </c>
      <c r="K489" s="97" t="e">
        <f>K484</f>
        <v>#REF!</v>
      </c>
      <c r="L489" s="98" t="str">
        <f>"(50)"</f>
        <v>(50)</v>
      </c>
      <c r="M489" s="102" t="e">
        <f>M484</f>
        <v>#REF!</v>
      </c>
      <c r="N489" s="103" t="str">
        <f>"(50)"</f>
        <v>(50)</v>
      </c>
      <c r="O489" s="102" t="e">
        <f>O484</f>
        <v>#REF!</v>
      </c>
      <c r="P489" s="87" t="str">
        <f>"(50)"</f>
        <v>(50)</v>
      </c>
    </row>
    <row r="490" spans="2:16" ht="17" thickBot="1" x14ac:dyDescent="0.4">
      <c r="B490" s="160"/>
      <c r="C490" s="161"/>
      <c r="D490" s="161"/>
      <c r="E490" s="161"/>
      <c r="F490" s="161"/>
      <c r="G490" s="161"/>
      <c r="H490" s="193"/>
      <c r="I490" s="130" t="e">
        <f>SUM(K490+M490+O490)</f>
        <v>#REF!</v>
      </c>
      <c r="J490" s="131" t="str">
        <f>"(55)"</f>
        <v>(55)</v>
      </c>
      <c r="K490" s="93" t="e">
        <f>SUM(K485*1.2)</f>
        <v>#REF!</v>
      </c>
      <c r="L490" s="94" t="str">
        <f>"(55)"</f>
        <v>(55)</v>
      </c>
      <c r="M490" s="130" t="e">
        <f>SUM(M485*1.22)</f>
        <v>#REF!</v>
      </c>
      <c r="N490" s="131" t="str">
        <f>"(55)"</f>
        <v>(55)</v>
      </c>
      <c r="O490" s="130" t="e">
        <f>SUM(O485*1.22)</f>
        <v>#REF!</v>
      </c>
      <c r="P490" s="96" t="str">
        <f>"(55)"</f>
        <v>(55)</v>
      </c>
    </row>
    <row r="491" spans="2:16" ht="16.5" x14ac:dyDescent="0.35">
      <c r="B491" s="187" t="e">
        <f>'kuni 2025 detsember tegevuskava'!#REF!&amp;"/"&amp;'kuni 2025 detsember tegevuskava'!#REF!</f>
        <v>#REF!</v>
      </c>
      <c r="C491" s="156" t="e">
        <f>'kuni 2025 detsember tegevuskava'!#REF!</f>
        <v>#REF!</v>
      </c>
      <c r="D491" s="156" t="e">
        <f>'kuni 2025 detsember tegevuskava'!#REF!</f>
        <v>#REF!</v>
      </c>
      <c r="E491" s="156" t="e">
        <f>'kuni 2025 detsember tegevuskava'!#REF!</f>
        <v>#REF!</v>
      </c>
      <c r="F491" s="156" t="e">
        <f>'kuni 2025 detsember tegevuskava'!#REF!&amp;"/"</f>
        <v>#REF!</v>
      </c>
      <c r="G491" s="156" t="e" cm="1">
        <f t="array" ref="G491">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491" s="194" t="e" cm="1">
        <f t="array" ref="H491">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491" s="132" t="e">
        <f>SUM(I492:I494)</f>
        <v>#REF!</v>
      </c>
      <c r="J491" s="133"/>
      <c r="K491" s="81" t="e">
        <f>SUM(K492:K494)</f>
        <v>#REF!</v>
      </c>
      <c r="L491" s="83"/>
      <c r="M491" s="132" t="e">
        <f>SUM(M492:M494)</f>
        <v>#REF!</v>
      </c>
      <c r="N491" s="133"/>
      <c r="O491" s="81" t="e">
        <f>SUM(O492:O494)</f>
        <v>#REF!</v>
      </c>
      <c r="P491" s="85"/>
    </row>
    <row r="492" spans="2:16" ht="16.5" x14ac:dyDescent="0.35">
      <c r="B492" s="145"/>
      <c r="C492" s="8"/>
      <c r="D492" s="8"/>
      <c r="E492" s="8"/>
      <c r="F492" s="8"/>
      <c r="G492" s="8"/>
      <c r="H492" s="192"/>
      <c r="I492" s="102" t="e">
        <f>SUM(K492+M492+O492)</f>
        <v>#REF!</v>
      </c>
      <c r="J492" s="103" t="str">
        <f>"(15)"</f>
        <v>(15)</v>
      </c>
      <c r="K492" s="97" t="e">
        <f>'kuni 2025 detsember tegevuskava'!#REF!</f>
        <v>#REF!</v>
      </c>
      <c r="L492" s="98" t="str">
        <f>"(15)"</f>
        <v>(15)</v>
      </c>
      <c r="M492" s="102" t="e">
        <f>'kuni 2025 detsember tegevuskava'!#REF!</f>
        <v>#REF!</v>
      </c>
      <c r="N492" s="103" t="str">
        <f>"(15)"</f>
        <v>(15)</v>
      </c>
      <c r="O492" s="97" t="e">
        <f>'kuni 2025 detsember tegevuskava'!#REF!</f>
        <v>#REF!</v>
      </c>
      <c r="P492" s="87" t="str">
        <f>"(15)"</f>
        <v>(15)</v>
      </c>
    </row>
    <row r="493" spans="2:16" ht="16.5" x14ac:dyDescent="0.35">
      <c r="B493" s="145"/>
      <c r="C493" s="8"/>
      <c r="D493" s="8"/>
      <c r="E493" s="8"/>
      <c r="F493" s="8"/>
      <c r="G493" s="8"/>
      <c r="H493" s="192"/>
      <c r="I493" s="102" t="e">
        <f>SUM(K493+M493+O493)</f>
        <v>#REF!</v>
      </c>
      <c r="J493" s="103" t="str">
        <f>"(50)"</f>
        <v>(50)</v>
      </c>
      <c r="K493" s="97" t="e">
        <f>'kuni 2025 detsember tegevuskava'!#REF!</f>
        <v>#REF!</v>
      </c>
      <c r="L493" s="98" t="str">
        <f>"(50)"</f>
        <v>(50)</v>
      </c>
      <c r="M493" s="102" t="e">
        <f>'kuni 2025 detsember tegevuskava'!#REF!</f>
        <v>#REF!</v>
      </c>
      <c r="N493" s="103" t="str">
        <f>"(50)"</f>
        <v>(50)</v>
      </c>
      <c r="O493" s="97" t="e">
        <f>'kuni 2025 detsember tegevuskava'!#REF!</f>
        <v>#REF!</v>
      </c>
      <c r="P493" s="87" t="str">
        <f>"(50)"</f>
        <v>(50)</v>
      </c>
    </row>
    <row r="494" spans="2:16" ht="16.5" x14ac:dyDescent="0.35">
      <c r="B494" s="145"/>
      <c r="C494" s="8"/>
      <c r="D494" s="8"/>
      <c r="E494" s="8"/>
      <c r="F494" s="8"/>
      <c r="G494" s="8"/>
      <c r="H494" s="192"/>
      <c r="I494" s="104" t="e">
        <f>SUM(K494+M494+O494)</f>
        <v>#REF!</v>
      </c>
      <c r="J494" s="105" t="str">
        <f>"(55)"</f>
        <v>(55)</v>
      </c>
      <c r="K494" s="99" t="e">
        <f>'kuni 2025 detsember tegevuskava'!#REF!</f>
        <v>#REF!</v>
      </c>
      <c r="L494" s="88" t="str">
        <f>"(55)"</f>
        <v>(55)</v>
      </c>
      <c r="M494" s="104" t="e">
        <f>'kuni 2025 detsember tegevuskava'!#REF!</f>
        <v>#REF!</v>
      </c>
      <c r="N494" s="105" t="str">
        <f>"(55)"</f>
        <v>(55)</v>
      </c>
      <c r="O494" s="99" t="e">
        <f>'kuni 2025 detsember tegevuskava'!#REF!</f>
        <v>#REF!</v>
      </c>
      <c r="P494" s="90" t="str">
        <f>"(55)"</f>
        <v>(55)</v>
      </c>
    </row>
    <row r="495" spans="2:16" ht="16.5" x14ac:dyDescent="0.35">
      <c r="B495" s="145"/>
      <c r="C495" s="8"/>
      <c r="D495" s="8"/>
      <c r="E495" s="8"/>
      <c r="F495" s="8"/>
      <c r="G495" s="8"/>
      <c r="H495" s="192"/>
      <c r="I495" s="151" t="s">
        <v>553</v>
      </c>
      <c r="J495" s="8"/>
      <c r="K495" s="8"/>
      <c r="L495" s="8"/>
      <c r="M495" s="8"/>
      <c r="N495" s="8"/>
      <c r="O495" s="8"/>
      <c r="P495" s="159"/>
    </row>
    <row r="496" spans="2:16" ht="16.5" x14ac:dyDescent="0.35">
      <c r="B496" s="145"/>
      <c r="C496" s="8"/>
      <c r="D496" s="8"/>
      <c r="E496" s="8"/>
      <c r="F496" s="8"/>
      <c r="G496" s="8"/>
      <c r="H496" s="192"/>
      <c r="I496" s="100" t="e">
        <f>SUM(I497:I499)</f>
        <v>#REF!</v>
      </c>
      <c r="J496" s="101"/>
      <c r="K496" s="91" t="e">
        <f>SUM(K497:K499)</f>
        <v>#REF!</v>
      </c>
      <c r="L496" s="92"/>
      <c r="M496" s="100" t="e">
        <f>SUM(M497:M499)</f>
        <v>#REF!</v>
      </c>
      <c r="N496" s="106"/>
      <c r="O496" s="100" t="e">
        <f>SUM(O497:O499)</f>
        <v>#REF!</v>
      </c>
      <c r="P496" s="134"/>
    </row>
    <row r="497" spans="2:16" ht="16.5" x14ac:dyDescent="0.35">
      <c r="B497" s="145"/>
      <c r="C497" s="8"/>
      <c r="D497" s="8"/>
      <c r="E497" s="8"/>
      <c r="F497" s="8"/>
      <c r="G497" s="8"/>
      <c r="H497" s="192"/>
      <c r="I497" s="102" t="e">
        <f>SUM(K497+M497+O497)</f>
        <v>#REF!</v>
      </c>
      <c r="J497" s="103" t="str">
        <f>"(15)"</f>
        <v>(15)</v>
      </c>
      <c r="K497" s="97" t="e">
        <f>SUM(K492*1.2)</f>
        <v>#REF!</v>
      </c>
      <c r="L497" s="98" t="str">
        <f>"(15)"</f>
        <v>(15)</v>
      </c>
      <c r="M497" s="102" t="e">
        <f>SUM(M492*1.22)</f>
        <v>#REF!</v>
      </c>
      <c r="N497" s="103" t="str">
        <f>"(15)"</f>
        <v>(15)</v>
      </c>
      <c r="O497" s="102" t="e">
        <f>SUM(O492*1.22)</f>
        <v>#REF!</v>
      </c>
      <c r="P497" s="87" t="str">
        <f>"(15)"</f>
        <v>(15)</v>
      </c>
    </row>
    <row r="498" spans="2:16" ht="16.5" x14ac:dyDescent="0.35">
      <c r="B498" s="145"/>
      <c r="C498" s="8"/>
      <c r="D498" s="8"/>
      <c r="E498" s="8"/>
      <c r="F498" s="8"/>
      <c r="G498" s="8"/>
      <c r="H498" s="192"/>
      <c r="I498" s="102" t="e">
        <f>SUM(K498+M498+O498)</f>
        <v>#REF!</v>
      </c>
      <c r="J498" s="103" t="str">
        <f>"(50)"</f>
        <v>(50)</v>
      </c>
      <c r="K498" s="97" t="e">
        <f>K493</f>
        <v>#REF!</v>
      </c>
      <c r="L498" s="98" t="str">
        <f>"(50)"</f>
        <v>(50)</v>
      </c>
      <c r="M498" s="102" t="e">
        <f>M493</f>
        <v>#REF!</v>
      </c>
      <c r="N498" s="103" t="str">
        <f>"(50)"</f>
        <v>(50)</v>
      </c>
      <c r="O498" s="102" t="e">
        <f>O493</f>
        <v>#REF!</v>
      </c>
      <c r="P498" s="87" t="str">
        <f>"(50)"</f>
        <v>(50)</v>
      </c>
    </row>
    <row r="499" spans="2:16" ht="17" thickBot="1" x14ac:dyDescent="0.4">
      <c r="B499" s="160"/>
      <c r="C499" s="161"/>
      <c r="D499" s="161"/>
      <c r="E499" s="161"/>
      <c r="F499" s="161"/>
      <c r="G499" s="161"/>
      <c r="H499" s="193"/>
      <c r="I499" s="130" t="e">
        <f>SUM(K499+M499+O499)</f>
        <v>#REF!</v>
      </c>
      <c r="J499" s="131" t="str">
        <f>"(55)"</f>
        <v>(55)</v>
      </c>
      <c r="K499" s="93" t="e">
        <f>SUM(K494*1.2)</f>
        <v>#REF!</v>
      </c>
      <c r="L499" s="94" t="str">
        <f>"(55)"</f>
        <v>(55)</v>
      </c>
      <c r="M499" s="130" t="e">
        <f>SUM(M494*1.22)</f>
        <v>#REF!</v>
      </c>
      <c r="N499" s="131" t="str">
        <f>"(55)"</f>
        <v>(55)</v>
      </c>
      <c r="O499" s="130" t="e">
        <f>SUM(O494*1.22)</f>
        <v>#REF!</v>
      </c>
      <c r="P499" s="96" t="str">
        <f>"(55)"</f>
        <v>(55)</v>
      </c>
    </row>
    <row r="500" spans="2:16" ht="16.5" x14ac:dyDescent="0.35">
      <c r="B500" s="187" t="e">
        <f>'kuni 2025 detsember tegevuskava'!#REF!&amp;"/"&amp;'kuni 2025 detsember tegevuskava'!#REF!</f>
        <v>#REF!</v>
      </c>
      <c r="C500" s="156" t="e">
        <f>'kuni 2025 detsember tegevuskava'!#REF!</f>
        <v>#REF!</v>
      </c>
      <c r="D500" s="156" t="e">
        <f>'kuni 2025 detsember tegevuskava'!#REF!</f>
        <v>#REF!</v>
      </c>
      <c r="E500" s="156" t="e">
        <f>'kuni 2025 detsember tegevuskava'!#REF!</f>
        <v>#REF!</v>
      </c>
      <c r="F500" s="156" t="e">
        <f>'kuni 2025 detsember tegevuskava'!#REF!&amp;"/"</f>
        <v>#REF!</v>
      </c>
      <c r="G500" s="156" t="e" cm="1">
        <f t="array" ref="G500">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00" s="194" t="e" cm="1">
        <f t="array" ref="H500">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00" s="132" t="e">
        <f>SUM(I501:I503)</f>
        <v>#REF!</v>
      </c>
      <c r="J500" s="133"/>
      <c r="K500" s="81" t="e">
        <f>SUM(K501:K503)</f>
        <v>#REF!</v>
      </c>
      <c r="L500" s="83"/>
      <c r="M500" s="132" t="e">
        <f>SUM(M501:M503)</f>
        <v>#REF!</v>
      </c>
      <c r="N500" s="133"/>
      <c r="O500" s="81" t="e">
        <f>SUM(O501:O503)</f>
        <v>#REF!</v>
      </c>
      <c r="P500" s="85"/>
    </row>
    <row r="501" spans="2:16" ht="16.5" x14ac:dyDescent="0.35">
      <c r="B501" s="145"/>
      <c r="C501" s="8"/>
      <c r="D501" s="8"/>
      <c r="E501" s="8"/>
      <c r="F501" s="8"/>
      <c r="G501" s="8"/>
      <c r="H501" s="192"/>
      <c r="I501" s="102" t="e">
        <f>SUM(K501+M501+O501)</f>
        <v>#REF!</v>
      </c>
      <c r="J501" s="103" t="str">
        <f>"(15)"</f>
        <v>(15)</v>
      </c>
      <c r="K501" s="97" t="e">
        <f>'kuni 2025 detsember tegevuskava'!#REF!</f>
        <v>#REF!</v>
      </c>
      <c r="L501" s="98" t="str">
        <f>"(15)"</f>
        <v>(15)</v>
      </c>
      <c r="M501" s="102" t="e">
        <f>'kuni 2025 detsember tegevuskava'!#REF!</f>
        <v>#REF!</v>
      </c>
      <c r="N501" s="103" t="str">
        <f>"(15)"</f>
        <v>(15)</v>
      </c>
      <c r="O501" s="97" t="e">
        <f>'kuni 2025 detsember tegevuskava'!#REF!</f>
        <v>#REF!</v>
      </c>
      <c r="P501" s="87" t="str">
        <f>"(15)"</f>
        <v>(15)</v>
      </c>
    </row>
    <row r="502" spans="2:16" ht="16.5" x14ac:dyDescent="0.35">
      <c r="B502" s="145"/>
      <c r="C502" s="8"/>
      <c r="D502" s="8"/>
      <c r="E502" s="8"/>
      <c r="F502" s="8"/>
      <c r="G502" s="8"/>
      <c r="H502" s="192"/>
      <c r="I502" s="102" t="e">
        <f>SUM(K502+M502+O502)</f>
        <v>#REF!</v>
      </c>
      <c r="J502" s="103" t="str">
        <f>"(50)"</f>
        <v>(50)</v>
      </c>
      <c r="K502" s="97" t="e">
        <f>'kuni 2025 detsember tegevuskava'!#REF!</f>
        <v>#REF!</v>
      </c>
      <c r="L502" s="98" t="str">
        <f>"(50)"</f>
        <v>(50)</v>
      </c>
      <c r="M502" s="102" t="e">
        <f>'kuni 2025 detsember tegevuskava'!#REF!</f>
        <v>#REF!</v>
      </c>
      <c r="N502" s="103" t="str">
        <f>"(50)"</f>
        <v>(50)</v>
      </c>
      <c r="O502" s="97" t="e">
        <f>'kuni 2025 detsember tegevuskava'!#REF!</f>
        <v>#REF!</v>
      </c>
      <c r="P502" s="87" t="str">
        <f>"(50)"</f>
        <v>(50)</v>
      </c>
    </row>
    <row r="503" spans="2:16" ht="16.5" x14ac:dyDescent="0.35">
      <c r="B503" s="145"/>
      <c r="C503" s="8"/>
      <c r="D503" s="8"/>
      <c r="E503" s="8"/>
      <c r="F503" s="8"/>
      <c r="G503" s="8"/>
      <c r="H503" s="192"/>
      <c r="I503" s="102" t="e">
        <f>SUM(K503+M503+O503)</f>
        <v>#REF!</v>
      </c>
      <c r="J503" s="103" t="str">
        <f>"(55)"</f>
        <v>(55)</v>
      </c>
      <c r="K503" s="97" t="e">
        <f>'kuni 2025 detsember tegevuskava'!#REF!</f>
        <v>#REF!</v>
      </c>
      <c r="L503" s="98" t="str">
        <f>"(55)"</f>
        <v>(55)</v>
      </c>
      <c r="M503" s="102" t="e">
        <f>'kuni 2025 detsember tegevuskava'!#REF!</f>
        <v>#REF!</v>
      </c>
      <c r="N503" s="103" t="str">
        <f>"(55)"</f>
        <v>(55)</v>
      </c>
      <c r="O503" s="97" t="e">
        <f>'kuni 2025 detsember tegevuskava'!#REF!</f>
        <v>#REF!</v>
      </c>
      <c r="P503" s="87" t="str">
        <f>"(55)"</f>
        <v>(55)</v>
      </c>
    </row>
    <row r="504" spans="2:16" ht="16.5" x14ac:dyDescent="0.35">
      <c r="B504" s="145"/>
      <c r="C504" s="8"/>
      <c r="D504" s="8"/>
      <c r="E504" s="8"/>
      <c r="F504" s="8"/>
      <c r="G504" s="8"/>
      <c r="H504" s="192"/>
      <c r="I504" s="183" t="s">
        <v>553</v>
      </c>
      <c r="J504" s="195"/>
      <c r="K504" s="195"/>
      <c r="L504" s="195"/>
      <c r="M504" s="195"/>
      <c r="N504" s="195"/>
      <c r="O504" s="195"/>
      <c r="P504" s="196"/>
    </row>
    <row r="505" spans="2:16" ht="16.5" x14ac:dyDescent="0.35">
      <c r="B505" s="145"/>
      <c r="C505" s="8"/>
      <c r="D505" s="8"/>
      <c r="E505" s="8"/>
      <c r="F505" s="8"/>
      <c r="G505" s="8"/>
      <c r="H505" s="192"/>
      <c r="I505" s="179" t="e">
        <f>SUM(I506:I508)</f>
        <v>#REF!</v>
      </c>
      <c r="J505" s="103"/>
      <c r="K505" s="172" t="e">
        <f>SUM(K506:K508)</f>
        <v>#REF!</v>
      </c>
      <c r="L505" s="184"/>
      <c r="M505" s="179" t="e">
        <f>SUM(M506:M508)</f>
        <v>#REF!</v>
      </c>
      <c r="N505" s="168"/>
      <c r="O505" s="179" t="e">
        <f>SUM(O506:O508)</f>
        <v>#REF!</v>
      </c>
      <c r="P505" s="69"/>
    </row>
    <row r="506" spans="2:16" ht="16.5" x14ac:dyDescent="0.35">
      <c r="B506" s="145"/>
      <c r="C506" s="8"/>
      <c r="D506" s="8"/>
      <c r="E506" s="8"/>
      <c r="F506" s="8"/>
      <c r="G506" s="8"/>
      <c r="H506" s="192"/>
      <c r="I506" s="102" t="e">
        <f>SUM(K506+M506+O506)</f>
        <v>#REF!</v>
      </c>
      <c r="J506" s="103" t="str">
        <f>"(15)"</f>
        <v>(15)</v>
      </c>
      <c r="K506" s="97" t="e">
        <f>SUM(K501*1.2)</f>
        <v>#REF!</v>
      </c>
      <c r="L506" s="98" t="str">
        <f>"(15)"</f>
        <v>(15)</v>
      </c>
      <c r="M506" s="102" t="e">
        <f>SUM(M501*1.22)</f>
        <v>#REF!</v>
      </c>
      <c r="N506" s="103" t="str">
        <f>"(15)"</f>
        <v>(15)</v>
      </c>
      <c r="O506" s="102" t="e">
        <f>SUM(O501*1.22)</f>
        <v>#REF!</v>
      </c>
      <c r="P506" s="87" t="str">
        <f>"(15)"</f>
        <v>(15)</v>
      </c>
    </row>
    <row r="507" spans="2:16" ht="16.5" x14ac:dyDescent="0.35">
      <c r="B507" s="145"/>
      <c r="C507" s="8"/>
      <c r="D507" s="8"/>
      <c r="E507" s="8"/>
      <c r="F507" s="8"/>
      <c r="G507" s="8"/>
      <c r="H507" s="192"/>
      <c r="I507" s="102" t="e">
        <f>SUM(K507+M507+O507)</f>
        <v>#REF!</v>
      </c>
      <c r="J507" s="103" t="str">
        <f>"(50)"</f>
        <v>(50)</v>
      </c>
      <c r="K507" s="97" t="e">
        <f>K502</f>
        <v>#REF!</v>
      </c>
      <c r="L507" s="98" t="str">
        <f>"(50)"</f>
        <v>(50)</v>
      </c>
      <c r="M507" s="102" t="e">
        <f>M502</f>
        <v>#REF!</v>
      </c>
      <c r="N507" s="103" t="str">
        <f>"(50)"</f>
        <v>(50)</v>
      </c>
      <c r="O507" s="102" t="e">
        <f>O502</f>
        <v>#REF!</v>
      </c>
      <c r="P507" s="87" t="str">
        <f>"(50)"</f>
        <v>(50)</v>
      </c>
    </row>
    <row r="508" spans="2:16" ht="17" thickBot="1" x14ac:dyDescent="0.4">
      <c r="B508" s="160"/>
      <c r="C508" s="161"/>
      <c r="D508" s="161"/>
      <c r="E508" s="161"/>
      <c r="F508" s="161"/>
      <c r="G508" s="161"/>
      <c r="H508" s="193"/>
      <c r="I508" s="130" t="e">
        <f>SUM(K508+M508+O508)</f>
        <v>#REF!</v>
      </c>
      <c r="J508" s="131" t="str">
        <f>"(55)"</f>
        <v>(55)</v>
      </c>
      <c r="K508" s="93" t="e">
        <f>SUM(K503*1.2)</f>
        <v>#REF!</v>
      </c>
      <c r="L508" s="94" t="str">
        <f>"(55)"</f>
        <v>(55)</v>
      </c>
      <c r="M508" s="130" t="e">
        <f>SUM(M503*1.22)</f>
        <v>#REF!</v>
      </c>
      <c r="N508" s="131" t="str">
        <f>"(55)"</f>
        <v>(55)</v>
      </c>
      <c r="O508" s="130" t="e">
        <f>SUM(O503*1.22)</f>
        <v>#REF!</v>
      </c>
      <c r="P508" s="96" t="str">
        <f>"(55)"</f>
        <v>(55)</v>
      </c>
    </row>
    <row r="509" spans="2:16" ht="16.5" x14ac:dyDescent="0.35">
      <c r="B509" s="187" t="e">
        <f>'kuni 2025 detsember tegevuskava'!#REF!&amp;"/"&amp;'kuni 2025 detsember tegevuskava'!#REF!</f>
        <v>#REF!</v>
      </c>
      <c r="C509" s="156" t="e">
        <f>'kuni 2025 detsember tegevuskava'!#REF!</f>
        <v>#REF!</v>
      </c>
      <c r="D509" s="156" t="e">
        <f>'kuni 2025 detsember tegevuskava'!#REF!</f>
        <v>#REF!</v>
      </c>
      <c r="E509" s="156" t="e">
        <f>'kuni 2025 detsember tegevuskava'!#REF!</f>
        <v>#REF!</v>
      </c>
      <c r="F509" s="156" t="e">
        <f>'kuni 2025 detsember tegevuskava'!#REF!&amp;"/"</f>
        <v>#REF!</v>
      </c>
      <c r="G509" s="156" t="e" cm="1">
        <f t="array" ref="G509">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09" s="194" t="e" cm="1">
        <f t="array" ref="H509">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09" s="132" t="e">
        <f>SUM(I510:I512)</f>
        <v>#REF!</v>
      </c>
      <c r="J509" s="133"/>
      <c r="K509" s="81" t="e">
        <f>SUM(K510:K512)</f>
        <v>#REF!</v>
      </c>
      <c r="L509" s="83"/>
      <c r="M509" s="132" t="e">
        <f>SUM(M510:M512)</f>
        <v>#REF!</v>
      </c>
      <c r="N509" s="133"/>
      <c r="O509" s="81" t="e">
        <f>SUM(O510:O512)</f>
        <v>#REF!</v>
      </c>
      <c r="P509" s="85"/>
    </row>
    <row r="510" spans="2:16" ht="16.5" x14ac:dyDescent="0.35">
      <c r="B510" s="145"/>
      <c r="C510" s="8"/>
      <c r="D510" s="8"/>
      <c r="E510" s="8"/>
      <c r="F510" s="8"/>
      <c r="G510" s="8"/>
      <c r="H510" s="192"/>
      <c r="I510" s="102" t="e">
        <f>SUM(K510+M510+O510)</f>
        <v>#REF!</v>
      </c>
      <c r="J510" s="103" t="str">
        <f>"(15)"</f>
        <v>(15)</v>
      </c>
      <c r="K510" s="97" t="e">
        <f>'kuni 2025 detsember tegevuskava'!#REF!</f>
        <v>#REF!</v>
      </c>
      <c r="L510" s="98" t="str">
        <f>"(15)"</f>
        <v>(15)</v>
      </c>
      <c r="M510" s="102" t="e">
        <f>'kuni 2025 detsember tegevuskava'!#REF!</f>
        <v>#REF!</v>
      </c>
      <c r="N510" s="103" t="str">
        <f>"(15)"</f>
        <v>(15)</v>
      </c>
      <c r="O510" s="97" t="e">
        <f>'kuni 2025 detsember tegevuskava'!#REF!</f>
        <v>#REF!</v>
      </c>
      <c r="P510" s="87" t="str">
        <f>"(15)"</f>
        <v>(15)</v>
      </c>
    </row>
    <row r="511" spans="2:16" ht="16.5" x14ac:dyDescent="0.35">
      <c r="B511" s="145"/>
      <c r="C511" s="8"/>
      <c r="D511" s="8"/>
      <c r="E511" s="8"/>
      <c r="F511" s="8"/>
      <c r="G511" s="8"/>
      <c r="H511" s="192"/>
      <c r="I511" s="102" t="e">
        <f>SUM(K511+M511+O511)</f>
        <v>#REF!</v>
      </c>
      <c r="J511" s="103" t="str">
        <f>"(50)"</f>
        <v>(50)</v>
      </c>
      <c r="K511" s="97" t="e">
        <f>'kuni 2025 detsember tegevuskava'!#REF!</f>
        <v>#REF!</v>
      </c>
      <c r="L511" s="98" t="str">
        <f>"(50)"</f>
        <v>(50)</v>
      </c>
      <c r="M511" s="102" t="e">
        <f>'kuni 2025 detsember tegevuskava'!#REF!</f>
        <v>#REF!</v>
      </c>
      <c r="N511" s="103" t="str">
        <f>"(50)"</f>
        <v>(50)</v>
      </c>
      <c r="O511" s="97" t="e">
        <f>'kuni 2025 detsember tegevuskava'!#REF!</f>
        <v>#REF!</v>
      </c>
      <c r="P511" s="87" t="str">
        <f>"(50)"</f>
        <v>(50)</v>
      </c>
    </row>
    <row r="512" spans="2:16" ht="16.5" x14ac:dyDescent="0.35">
      <c r="B512" s="145"/>
      <c r="C512" s="8"/>
      <c r="D512" s="8"/>
      <c r="E512" s="8"/>
      <c r="F512" s="8"/>
      <c r="G512" s="8"/>
      <c r="H512" s="192"/>
      <c r="I512" s="102" t="e">
        <f>SUM(K512+M512+O512)</f>
        <v>#REF!</v>
      </c>
      <c r="J512" s="103" t="str">
        <f>"(55)"</f>
        <v>(55)</v>
      </c>
      <c r="K512" s="97" t="e">
        <f>'kuni 2025 detsember tegevuskava'!#REF!</f>
        <v>#REF!</v>
      </c>
      <c r="L512" s="98" t="str">
        <f>"(55)"</f>
        <v>(55)</v>
      </c>
      <c r="M512" s="102" t="e">
        <f>'kuni 2025 detsember tegevuskava'!#REF!</f>
        <v>#REF!</v>
      </c>
      <c r="N512" s="103" t="str">
        <f>"(55)"</f>
        <v>(55)</v>
      </c>
      <c r="O512" s="97" t="e">
        <f>'kuni 2025 detsember tegevuskava'!#REF!</f>
        <v>#REF!</v>
      </c>
      <c r="P512" s="87" t="str">
        <f>"(55)"</f>
        <v>(55)</v>
      </c>
    </row>
    <row r="513" spans="2:16" ht="16.5" x14ac:dyDescent="0.35">
      <c r="B513" s="145"/>
      <c r="C513" s="8"/>
      <c r="D513" s="8"/>
      <c r="E513" s="8"/>
      <c r="F513" s="8"/>
      <c r="G513" s="8"/>
      <c r="H513" s="192"/>
      <c r="I513" s="183" t="s">
        <v>553</v>
      </c>
      <c r="J513" s="195"/>
      <c r="K513" s="195"/>
      <c r="L513" s="195"/>
      <c r="M513" s="195"/>
      <c r="N513" s="195"/>
      <c r="O513" s="195"/>
      <c r="P513" s="196"/>
    </row>
    <row r="514" spans="2:16" ht="16.5" x14ac:dyDescent="0.35">
      <c r="B514" s="145"/>
      <c r="C514" s="8"/>
      <c r="D514" s="8"/>
      <c r="E514" s="8"/>
      <c r="F514" s="8"/>
      <c r="G514" s="8"/>
      <c r="H514" s="192"/>
      <c r="I514" s="179" t="e">
        <f>SUM(I515:I517)</f>
        <v>#REF!</v>
      </c>
      <c r="J514" s="103"/>
      <c r="K514" s="172" t="e">
        <f>SUM(K515:K517)</f>
        <v>#REF!</v>
      </c>
      <c r="L514" s="184"/>
      <c r="M514" s="179" t="e">
        <f>SUM(M515:M517)</f>
        <v>#REF!</v>
      </c>
      <c r="N514" s="168"/>
      <c r="O514" s="179" t="e">
        <f>SUM(O515:O517)</f>
        <v>#REF!</v>
      </c>
      <c r="P514" s="69"/>
    </row>
    <row r="515" spans="2:16" ht="16.5" x14ac:dyDescent="0.35">
      <c r="B515" s="145"/>
      <c r="C515" s="8"/>
      <c r="D515" s="8"/>
      <c r="E515" s="8"/>
      <c r="F515" s="8"/>
      <c r="G515" s="8"/>
      <c r="H515" s="192"/>
      <c r="I515" s="102" t="e">
        <f>SUM(K515+M515+O515)</f>
        <v>#REF!</v>
      </c>
      <c r="J515" s="103" t="str">
        <f>"(15)"</f>
        <v>(15)</v>
      </c>
      <c r="K515" s="97" t="e">
        <f>SUM(K510*1.2)</f>
        <v>#REF!</v>
      </c>
      <c r="L515" s="98" t="str">
        <f>"(15)"</f>
        <v>(15)</v>
      </c>
      <c r="M515" s="102" t="e">
        <f>SUM(M510*1.22)</f>
        <v>#REF!</v>
      </c>
      <c r="N515" s="103" t="str">
        <f>"(15)"</f>
        <v>(15)</v>
      </c>
      <c r="O515" s="102" t="e">
        <f>SUM(O510*1.22)</f>
        <v>#REF!</v>
      </c>
      <c r="P515" s="87" t="str">
        <f>"(15)"</f>
        <v>(15)</v>
      </c>
    </row>
    <row r="516" spans="2:16" ht="16.5" x14ac:dyDescent="0.35">
      <c r="B516" s="145"/>
      <c r="C516" s="8"/>
      <c r="D516" s="8"/>
      <c r="E516" s="8"/>
      <c r="F516" s="8"/>
      <c r="G516" s="8"/>
      <c r="H516" s="192"/>
      <c r="I516" s="102" t="e">
        <f>SUM(K516+M516+O516)</f>
        <v>#REF!</v>
      </c>
      <c r="J516" s="103" t="str">
        <f>"(50)"</f>
        <v>(50)</v>
      </c>
      <c r="K516" s="97" t="e">
        <f>K511</f>
        <v>#REF!</v>
      </c>
      <c r="L516" s="98" t="str">
        <f>"(50)"</f>
        <v>(50)</v>
      </c>
      <c r="M516" s="102" t="e">
        <f>M511</f>
        <v>#REF!</v>
      </c>
      <c r="N516" s="103" t="str">
        <f>"(50)"</f>
        <v>(50)</v>
      </c>
      <c r="O516" s="102" t="e">
        <f>O511</f>
        <v>#REF!</v>
      </c>
      <c r="P516" s="87" t="str">
        <f>"(50)"</f>
        <v>(50)</v>
      </c>
    </row>
    <row r="517" spans="2:16" ht="17" thickBot="1" x14ac:dyDescent="0.4">
      <c r="B517" s="160"/>
      <c r="C517" s="161"/>
      <c r="D517" s="161"/>
      <c r="E517" s="161"/>
      <c r="F517" s="161"/>
      <c r="G517" s="161"/>
      <c r="H517" s="193"/>
      <c r="I517" s="130" t="e">
        <f>SUM(K517+M517+O517)</f>
        <v>#REF!</v>
      </c>
      <c r="J517" s="131" t="str">
        <f>"(55)"</f>
        <v>(55)</v>
      </c>
      <c r="K517" s="93" t="e">
        <f>SUM(K512*1.2)</f>
        <v>#REF!</v>
      </c>
      <c r="L517" s="94" t="str">
        <f>"(55)"</f>
        <v>(55)</v>
      </c>
      <c r="M517" s="130" t="e">
        <f>SUM(M512*1.22)</f>
        <v>#REF!</v>
      </c>
      <c r="N517" s="131" t="str">
        <f>"(55)"</f>
        <v>(55)</v>
      </c>
      <c r="O517" s="130" t="e">
        <f>SUM(O512*1.22)</f>
        <v>#REF!</v>
      </c>
      <c r="P517" s="96" t="str">
        <f>"(55)"</f>
        <v>(55)</v>
      </c>
    </row>
    <row r="518" spans="2:16" ht="16.5" x14ac:dyDescent="0.35">
      <c r="B518" s="187" t="e">
        <f>'kuni 2025 detsember tegevuskava'!#REF!&amp;"/"&amp;'kuni 2025 detsember tegevuskava'!#REF!</f>
        <v>#REF!</v>
      </c>
      <c r="C518" s="156" t="e">
        <f>'kuni 2025 detsember tegevuskava'!#REF!</f>
        <v>#REF!</v>
      </c>
      <c r="D518" s="156" t="e">
        <f>'kuni 2025 detsember tegevuskava'!#REF!</f>
        <v>#REF!</v>
      </c>
      <c r="E518" s="156" t="e">
        <f>'kuni 2025 detsember tegevuskava'!#REF!</f>
        <v>#REF!</v>
      </c>
      <c r="F518" s="156" t="e">
        <f>'kuni 2025 detsember tegevuskava'!#REF!&amp;"/"</f>
        <v>#REF!</v>
      </c>
      <c r="G518" s="156" t="e" cm="1">
        <f t="array" ref="G518">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18" s="194" t="e" cm="1">
        <f t="array" ref="H518">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18" s="132" t="e">
        <f>SUM(I519:I521)</f>
        <v>#REF!</v>
      </c>
      <c r="J518" s="133"/>
      <c r="K518" s="81" t="e">
        <f>SUM(K519:K521)</f>
        <v>#REF!</v>
      </c>
      <c r="L518" s="83"/>
      <c r="M518" s="132" t="e">
        <f>SUM(M519:M521)</f>
        <v>#REF!</v>
      </c>
      <c r="N518" s="133"/>
      <c r="O518" s="81" t="e">
        <f>SUM(O519:O521)</f>
        <v>#REF!</v>
      </c>
      <c r="P518" s="85"/>
    </row>
    <row r="519" spans="2:16" ht="16.5" x14ac:dyDescent="0.35">
      <c r="B519" s="145"/>
      <c r="C519" s="8"/>
      <c r="D519" s="8"/>
      <c r="E519" s="8"/>
      <c r="F519" s="8"/>
      <c r="G519" s="8"/>
      <c r="H519" s="192"/>
      <c r="I519" s="102" t="e">
        <f>SUM(K519+M519+O519)</f>
        <v>#REF!</v>
      </c>
      <c r="J519" s="103" t="str">
        <f>"(15)"</f>
        <v>(15)</v>
      </c>
      <c r="K519" s="97" t="e">
        <f>'kuni 2025 detsember tegevuskava'!#REF!</f>
        <v>#REF!</v>
      </c>
      <c r="L519" s="98" t="str">
        <f>"(15)"</f>
        <v>(15)</v>
      </c>
      <c r="M519" s="102" t="e">
        <f>'kuni 2025 detsember tegevuskava'!#REF!</f>
        <v>#REF!</v>
      </c>
      <c r="N519" s="103" t="str">
        <f>"(15)"</f>
        <v>(15)</v>
      </c>
      <c r="O519" s="97" t="e">
        <f>'kuni 2025 detsember tegevuskava'!#REF!</f>
        <v>#REF!</v>
      </c>
      <c r="P519" s="87" t="str">
        <f>"(15)"</f>
        <v>(15)</v>
      </c>
    </row>
    <row r="520" spans="2:16" ht="16.5" x14ac:dyDescent="0.35">
      <c r="B520" s="145"/>
      <c r="C520" s="8"/>
      <c r="D520" s="8"/>
      <c r="E520" s="8"/>
      <c r="F520" s="8"/>
      <c r="G520" s="8"/>
      <c r="H520" s="192"/>
      <c r="I520" s="102" t="e">
        <f>SUM(K520+M520+O520)</f>
        <v>#REF!</v>
      </c>
      <c r="J520" s="103" t="str">
        <f>"(50)"</f>
        <v>(50)</v>
      </c>
      <c r="K520" s="97" t="e">
        <f>'kuni 2025 detsember tegevuskava'!#REF!</f>
        <v>#REF!</v>
      </c>
      <c r="L520" s="98" t="str">
        <f>"(50)"</f>
        <v>(50)</v>
      </c>
      <c r="M520" s="102" t="e">
        <f>'kuni 2025 detsember tegevuskava'!#REF!</f>
        <v>#REF!</v>
      </c>
      <c r="N520" s="103" t="str">
        <f>"(50)"</f>
        <v>(50)</v>
      </c>
      <c r="O520" s="97" t="e">
        <f>'kuni 2025 detsember tegevuskava'!#REF!</f>
        <v>#REF!</v>
      </c>
      <c r="P520" s="87" t="str">
        <f>"(50)"</f>
        <v>(50)</v>
      </c>
    </row>
    <row r="521" spans="2:16" ht="16.5" x14ac:dyDescent="0.35">
      <c r="B521" s="145"/>
      <c r="C521" s="8"/>
      <c r="D521" s="8"/>
      <c r="E521" s="8"/>
      <c r="F521" s="8"/>
      <c r="G521" s="8"/>
      <c r="H521" s="192"/>
      <c r="I521" s="102" t="e">
        <f>SUM(K521+M521+O521)</f>
        <v>#REF!</v>
      </c>
      <c r="J521" s="103" t="str">
        <f>"(55)"</f>
        <v>(55)</v>
      </c>
      <c r="K521" s="97" t="e">
        <f>'kuni 2025 detsember tegevuskava'!#REF!</f>
        <v>#REF!</v>
      </c>
      <c r="L521" s="98" t="str">
        <f>"(55)"</f>
        <v>(55)</v>
      </c>
      <c r="M521" s="102" t="e">
        <f>'kuni 2025 detsember tegevuskava'!#REF!</f>
        <v>#REF!</v>
      </c>
      <c r="N521" s="103" t="str">
        <f>"(55)"</f>
        <v>(55)</v>
      </c>
      <c r="O521" s="97" t="e">
        <f>'kuni 2025 detsember tegevuskava'!#REF!</f>
        <v>#REF!</v>
      </c>
      <c r="P521" s="87" t="str">
        <f>"(55)"</f>
        <v>(55)</v>
      </c>
    </row>
    <row r="522" spans="2:16" ht="16.5" x14ac:dyDescent="0.35">
      <c r="B522" s="145"/>
      <c r="C522" s="8"/>
      <c r="D522" s="8"/>
      <c r="E522" s="8"/>
      <c r="F522" s="8"/>
      <c r="G522" s="8"/>
      <c r="H522" s="192"/>
      <c r="I522" s="183" t="s">
        <v>553</v>
      </c>
      <c r="J522" s="195"/>
      <c r="K522" s="195"/>
      <c r="L522" s="195"/>
      <c r="M522" s="195"/>
      <c r="N522" s="195"/>
      <c r="O522" s="195"/>
      <c r="P522" s="196"/>
    </row>
    <row r="523" spans="2:16" ht="16.5" x14ac:dyDescent="0.35">
      <c r="B523" s="145"/>
      <c r="C523" s="8"/>
      <c r="D523" s="8"/>
      <c r="E523" s="8"/>
      <c r="F523" s="8"/>
      <c r="G523" s="8"/>
      <c r="H523" s="192"/>
      <c r="I523" s="179" t="e">
        <f>SUM(I524:I526)</f>
        <v>#REF!</v>
      </c>
      <c r="J523" s="103"/>
      <c r="K523" s="172" t="e">
        <f>SUM(K524:K526)</f>
        <v>#REF!</v>
      </c>
      <c r="L523" s="184"/>
      <c r="M523" s="179" t="e">
        <f>SUM(M524:M526)</f>
        <v>#REF!</v>
      </c>
      <c r="N523" s="168"/>
      <c r="O523" s="179" t="e">
        <f>SUM(O524:O526)</f>
        <v>#REF!</v>
      </c>
      <c r="P523" s="69"/>
    </row>
    <row r="524" spans="2:16" ht="16.5" x14ac:dyDescent="0.35">
      <c r="B524" s="145"/>
      <c r="C524" s="8"/>
      <c r="D524" s="8"/>
      <c r="E524" s="8"/>
      <c r="F524" s="8"/>
      <c r="G524" s="8"/>
      <c r="H524" s="192"/>
      <c r="I524" s="102" t="e">
        <f>SUM(K524+M524+O524)</f>
        <v>#REF!</v>
      </c>
      <c r="J524" s="103" t="str">
        <f>"(15)"</f>
        <v>(15)</v>
      </c>
      <c r="K524" s="97" t="e">
        <f>SUM(K519*1.2)</f>
        <v>#REF!</v>
      </c>
      <c r="L524" s="98" t="str">
        <f>"(15)"</f>
        <v>(15)</v>
      </c>
      <c r="M524" s="102" t="e">
        <f>SUM(M519*1.22)</f>
        <v>#REF!</v>
      </c>
      <c r="N524" s="103" t="str">
        <f>"(15)"</f>
        <v>(15)</v>
      </c>
      <c r="O524" s="102" t="e">
        <f>SUM(O519*1.22)</f>
        <v>#REF!</v>
      </c>
      <c r="P524" s="87" t="str">
        <f>"(15)"</f>
        <v>(15)</v>
      </c>
    </row>
    <row r="525" spans="2:16" ht="16.5" x14ac:dyDescent="0.35">
      <c r="B525" s="145"/>
      <c r="C525" s="8"/>
      <c r="D525" s="8"/>
      <c r="E525" s="8"/>
      <c r="F525" s="8"/>
      <c r="G525" s="8"/>
      <c r="H525" s="192"/>
      <c r="I525" s="102" t="e">
        <f>SUM(K525+M525+O525)</f>
        <v>#REF!</v>
      </c>
      <c r="J525" s="103" t="str">
        <f>"(50)"</f>
        <v>(50)</v>
      </c>
      <c r="K525" s="97" t="e">
        <f>K520</f>
        <v>#REF!</v>
      </c>
      <c r="L525" s="98" t="str">
        <f>"(50)"</f>
        <v>(50)</v>
      </c>
      <c r="M525" s="102" t="e">
        <f>M520</f>
        <v>#REF!</v>
      </c>
      <c r="N525" s="103" t="str">
        <f>"(50)"</f>
        <v>(50)</v>
      </c>
      <c r="O525" s="102" t="e">
        <f>O520</f>
        <v>#REF!</v>
      </c>
      <c r="P525" s="87" t="str">
        <f>"(50)"</f>
        <v>(50)</v>
      </c>
    </row>
    <row r="526" spans="2:16" ht="17" thickBot="1" x14ac:dyDescent="0.4">
      <c r="B526" s="160"/>
      <c r="C526" s="161"/>
      <c r="D526" s="161"/>
      <c r="E526" s="161"/>
      <c r="F526" s="161"/>
      <c r="G526" s="161"/>
      <c r="H526" s="193"/>
      <c r="I526" s="130" t="e">
        <f>SUM(K526+M526+O526)</f>
        <v>#REF!</v>
      </c>
      <c r="J526" s="131" t="str">
        <f>"(55)"</f>
        <v>(55)</v>
      </c>
      <c r="K526" s="93" t="e">
        <f>SUM(K521*1.2)</f>
        <v>#REF!</v>
      </c>
      <c r="L526" s="94" t="str">
        <f>"(55)"</f>
        <v>(55)</v>
      </c>
      <c r="M526" s="130" t="e">
        <f>SUM(M521*1.22)</f>
        <v>#REF!</v>
      </c>
      <c r="N526" s="131" t="str">
        <f>"(55)"</f>
        <v>(55)</v>
      </c>
      <c r="O526" s="130" t="e">
        <f>SUM(O521*1.22)</f>
        <v>#REF!</v>
      </c>
      <c r="P526" s="96" t="str">
        <f>"(55)"</f>
        <v>(55)</v>
      </c>
    </row>
    <row r="527" spans="2:16" ht="16.5" x14ac:dyDescent="0.35">
      <c r="B527" s="187" t="e">
        <f>'kuni 2025 detsember tegevuskava'!#REF!&amp;"/"&amp;'kuni 2025 detsember tegevuskava'!#REF!</f>
        <v>#REF!</v>
      </c>
      <c r="C527" s="156" t="e">
        <f>'kuni 2025 detsember tegevuskava'!#REF!</f>
        <v>#REF!</v>
      </c>
      <c r="D527" s="156" t="e">
        <f>'kuni 2025 detsember tegevuskava'!#REF!</f>
        <v>#REF!</v>
      </c>
      <c r="E527" s="156" t="e">
        <f>'kuni 2025 detsember tegevuskava'!#REF!</f>
        <v>#REF!</v>
      </c>
      <c r="F527" s="156" t="e">
        <f>'kuni 2025 detsember tegevuskava'!#REF!&amp;"/"</f>
        <v>#REF!</v>
      </c>
      <c r="G527" s="156" t="e" cm="1">
        <f t="array" ref="G527">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27" s="194" t="e" cm="1">
        <f t="array" ref="H527">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27" s="132" t="e">
        <f>SUM(I528:I530)</f>
        <v>#REF!</v>
      </c>
      <c r="J527" s="133"/>
      <c r="K527" s="81" t="e">
        <f>SUM(K528:K530)</f>
        <v>#REF!</v>
      </c>
      <c r="L527" s="83"/>
      <c r="M527" s="132" t="e">
        <f>SUM(M528:M530)</f>
        <v>#REF!</v>
      </c>
      <c r="N527" s="133"/>
      <c r="O527" s="81" t="e">
        <f>SUM(O528:O530)</f>
        <v>#REF!</v>
      </c>
      <c r="P527" s="85"/>
    </row>
    <row r="528" spans="2:16" ht="16.5" x14ac:dyDescent="0.35">
      <c r="B528" s="145"/>
      <c r="C528" s="8"/>
      <c r="D528" s="8"/>
      <c r="E528" s="8"/>
      <c r="F528" s="8"/>
      <c r="G528" s="8"/>
      <c r="H528" s="192"/>
      <c r="I528" s="102" t="e">
        <f>SUM(K528+M528+O528)</f>
        <v>#REF!</v>
      </c>
      <c r="J528" s="103" t="str">
        <f>"(15)"</f>
        <v>(15)</v>
      </c>
      <c r="K528" s="97" t="e">
        <f>'kuni 2025 detsember tegevuskava'!#REF!</f>
        <v>#REF!</v>
      </c>
      <c r="L528" s="98" t="str">
        <f>"(15)"</f>
        <v>(15)</v>
      </c>
      <c r="M528" s="102" t="e">
        <f>'kuni 2025 detsember tegevuskava'!#REF!</f>
        <v>#REF!</v>
      </c>
      <c r="N528" s="103" t="str">
        <f>"(15)"</f>
        <v>(15)</v>
      </c>
      <c r="O528" s="97" t="e">
        <f>'kuni 2025 detsember tegevuskava'!#REF!</f>
        <v>#REF!</v>
      </c>
      <c r="P528" s="87" t="str">
        <f>"(15)"</f>
        <v>(15)</v>
      </c>
    </row>
    <row r="529" spans="2:16" ht="16.5" x14ac:dyDescent="0.35">
      <c r="B529" s="145"/>
      <c r="C529" s="8"/>
      <c r="D529" s="8"/>
      <c r="E529" s="8"/>
      <c r="F529" s="8"/>
      <c r="G529" s="8"/>
      <c r="H529" s="192"/>
      <c r="I529" s="102" t="e">
        <f>SUM(K529+M529+O529)</f>
        <v>#REF!</v>
      </c>
      <c r="J529" s="103" t="str">
        <f>"(50)"</f>
        <v>(50)</v>
      </c>
      <c r="K529" s="97" t="e">
        <f>'kuni 2025 detsember tegevuskava'!#REF!</f>
        <v>#REF!</v>
      </c>
      <c r="L529" s="98" t="str">
        <f>"(50)"</f>
        <v>(50)</v>
      </c>
      <c r="M529" s="102" t="e">
        <f>'kuni 2025 detsember tegevuskava'!#REF!</f>
        <v>#REF!</v>
      </c>
      <c r="N529" s="103" t="str">
        <f>"(50)"</f>
        <v>(50)</v>
      </c>
      <c r="O529" s="97" t="e">
        <f>'kuni 2025 detsember tegevuskava'!#REF!</f>
        <v>#REF!</v>
      </c>
      <c r="P529" s="87" t="str">
        <f>"(50)"</f>
        <v>(50)</v>
      </c>
    </row>
    <row r="530" spans="2:16" ht="16.5" x14ac:dyDescent="0.35">
      <c r="B530" s="145"/>
      <c r="C530" s="8"/>
      <c r="D530" s="8"/>
      <c r="E530" s="8"/>
      <c r="F530" s="8"/>
      <c r="G530" s="8"/>
      <c r="H530" s="192"/>
      <c r="I530" s="102" t="e">
        <f>SUM(K530+M530+O530)</f>
        <v>#REF!</v>
      </c>
      <c r="J530" s="103" t="str">
        <f>"(55)"</f>
        <v>(55)</v>
      </c>
      <c r="K530" s="97" t="e">
        <f>'kuni 2025 detsember tegevuskava'!#REF!</f>
        <v>#REF!</v>
      </c>
      <c r="L530" s="98" t="str">
        <f>"(55)"</f>
        <v>(55)</v>
      </c>
      <c r="M530" s="102" t="e">
        <f>'kuni 2025 detsember tegevuskava'!#REF!</f>
        <v>#REF!</v>
      </c>
      <c r="N530" s="103" t="str">
        <f>"(55)"</f>
        <v>(55)</v>
      </c>
      <c r="O530" s="97" t="e">
        <f>'kuni 2025 detsember tegevuskava'!#REF!</f>
        <v>#REF!</v>
      </c>
      <c r="P530" s="87" t="str">
        <f>"(55)"</f>
        <v>(55)</v>
      </c>
    </row>
    <row r="531" spans="2:16" ht="16.5" x14ac:dyDescent="0.35">
      <c r="B531" s="145"/>
      <c r="C531" s="8"/>
      <c r="D531" s="8"/>
      <c r="E531" s="8"/>
      <c r="F531" s="8"/>
      <c r="G531" s="8"/>
      <c r="H531" s="192"/>
      <c r="I531" s="183" t="s">
        <v>553</v>
      </c>
      <c r="J531" s="195"/>
      <c r="K531" s="195"/>
      <c r="L531" s="195"/>
      <c r="M531" s="195"/>
      <c r="N531" s="195"/>
      <c r="O531" s="195"/>
      <c r="P531" s="196"/>
    </row>
    <row r="532" spans="2:16" ht="16.5" x14ac:dyDescent="0.35">
      <c r="B532" s="145"/>
      <c r="C532" s="8"/>
      <c r="D532" s="8"/>
      <c r="E532" s="8"/>
      <c r="F532" s="8"/>
      <c r="G532" s="8"/>
      <c r="H532" s="192"/>
      <c r="I532" s="179" t="e">
        <f>SUM(I533:I535)</f>
        <v>#REF!</v>
      </c>
      <c r="J532" s="103"/>
      <c r="K532" s="172" t="e">
        <f>SUM(K533:K535)</f>
        <v>#REF!</v>
      </c>
      <c r="L532" s="184"/>
      <c r="M532" s="179" t="e">
        <f>SUM(M533:M535)</f>
        <v>#REF!</v>
      </c>
      <c r="N532" s="168"/>
      <c r="O532" s="179" t="e">
        <f>SUM(O533:O535)</f>
        <v>#REF!</v>
      </c>
      <c r="P532" s="69"/>
    </row>
    <row r="533" spans="2:16" ht="16.5" x14ac:dyDescent="0.35">
      <c r="B533" s="145"/>
      <c r="C533" s="8"/>
      <c r="D533" s="8"/>
      <c r="E533" s="8"/>
      <c r="F533" s="8"/>
      <c r="G533" s="8"/>
      <c r="H533" s="192"/>
      <c r="I533" s="102" t="e">
        <f>SUM(K533+M533+O533)</f>
        <v>#REF!</v>
      </c>
      <c r="J533" s="103" t="str">
        <f>"(15)"</f>
        <v>(15)</v>
      </c>
      <c r="K533" s="97" t="e">
        <f>SUM(K528*1.2)</f>
        <v>#REF!</v>
      </c>
      <c r="L533" s="98" t="str">
        <f>"(15)"</f>
        <v>(15)</v>
      </c>
      <c r="M533" s="102" t="e">
        <f>SUM(M528*1.22)</f>
        <v>#REF!</v>
      </c>
      <c r="N533" s="103" t="str">
        <f>"(15)"</f>
        <v>(15)</v>
      </c>
      <c r="O533" s="102" t="e">
        <f>SUM(O528*1.22)</f>
        <v>#REF!</v>
      </c>
      <c r="P533" s="87" t="str">
        <f>"(15)"</f>
        <v>(15)</v>
      </c>
    </row>
    <row r="534" spans="2:16" ht="16.5" x14ac:dyDescent="0.35">
      <c r="B534" s="145"/>
      <c r="C534" s="8"/>
      <c r="D534" s="8"/>
      <c r="E534" s="8"/>
      <c r="F534" s="8"/>
      <c r="G534" s="8"/>
      <c r="H534" s="192"/>
      <c r="I534" s="102" t="e">
        <f>SUM(K534+M534+O534)</f>
        <v>#REF!</v>
      </c>
      <c r="J534" s="103" t="str">
        <f>"(50)"</f>
        <v>(50)</v>
      </c>
      <c r="K534" s="97" t="e">
        <f>K529</f>
        <v>#REF!</v>
      </c>
      <c r="L534" s="98" t="str">
        <f>"(50)"</f>
        <v>(50)</v>
      </c>
      <c r="M534" s="102" t="e">
        <f>M529</f>
        <v>#REF!</v>
      </c>
      <c r="N534" s="103" t="str">
        <f>"(50)"</f>
        <v>(50)</v>
      </c>
      <c r="O534" s="102" t="e">
        <f>O529</f>
        <v>#REF!</v>
      </c>
      <c r="P534" s="87" t="str">
        <f>"(50)"</f>
        <v>(50)</v>
      </c>
    </row>
    <row r="535" spans="2:16" ht="17" thickBot="1" x14ac:dyDescent="0.4">
      <c r="B535" s="160"/>
      <c r="C535" s="161"/>
      <c r="D535" s="161"/>
      <c r="E535" s="161"/>
      <c r="F535" s="161"/>
      <c r="G535" s="161"/>
      <c r="H535" s="193"/>
      <c r="I535" s="130" t="e">
        <f>SUM(K535+M535+O535)</f>
        <v>#REF!</v>
      </c>
      <c r="J535" s="131" t="str">
        <f>"(55)"</f>
        <v>(55)</v>
      </c>
      <c r="K535" s="93" t="e">
        <f>SUM(K530*1.2)</f>
        <v>#REF!</v>
      </c>
      <c r="L535" s="94" t="str">
        <f>"(55)"</f>
        <v>(55)</v>
      </c>
      <c r="M535" s="130" t="e">
        <f>SUM(M530*1.22)</f>
        <v>#REF!</v>
      </c>
      <c r="N535" s="131" t="str">
        <f>"(55)"</f>
        <v>(55)</v>
      </c>
      <c r="O535" s="130" t="e">
        <f>SUM(O530*1.22)</f>
        <v>#REF!</v>
      </c>
      <c r="P535" s="96" t="str">
        <f>"(55)"</f>
        <v>(55)</v>
      </c>
    </row>
    <row r="536" spans="2:16" ht="14.15" customHeight="1" x14ac:dyDescent="0.35">
      <c r="B536" s="187" t="e">
        <f>'kuni 2025 detsember tegevuskava'!#REF!&amp;"/"&amp;'kuni 2025 detsember tegevuskava'!#REF!</f>
        <v>#REF!</v>
      </c>
      <c r="C536" s="156" t="e">
        <f>'kuni 2025 detsember tegevuskava'!#REF!</f>
        <v>#REF!</v>
      </c>
      <c r="D536" s="156" t="e">
        <f>'kuni 2025 detsember tegevuskava'!#REF!</f>
        <v>#REF!</v>
      </c>
      <c r="E536" s="156" t="e">
        <f>'kuni 2025 detsember tegevuskava'!#REF!</f>
        <v>#REF!</v>
      </c>
      <c r="F536" s="156" t="e">
        <f>'kuni 2025 detsember tegevuskava'!#REF!&amp;"/"</f>
        <v>#REF!</v>
      </c>
      <c r="G536" s="156" t="e" cm="1">
        <f t="array" ref="G536">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36" s="194" t="e" cm="1">
        <f t="array" ref="H536">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36" s="132" t="e">
        <f>SUM(I537:I539)</f>
        <v>#REF!</v>
      </c>
      <c r="J536" s="133"/>
      <c r="K536" s="81" t="e">
        <f>SUM(K537:K539)</f>
        <v>#REF!</v>
      </c>
      <c r="L536" s="83"/>
      <c r="M536" s="132" t="e">
        <f>SUM(M537:M539)</f>
        <v>#REF!</v>
      </c>
      <c r="N536" s="133"/>
      <c r="O536" s="81" t="e">
        <f>SUM(O537:O539)</f>
        <v>#REF!</v>
      </c>
      <c r="P536" s="85"/>
    </row>
    <row r="537" spans="2:16" ht="14.15" customHeight="1" x14ac:dyDescent="0.35">
      <c r="B537" s="145"/>
      <c r="C537" s="8"/>
      <c r="D537" s="8"/>
      <c r="E537" s="8"/>
      <c r="F537" s="8"/>
      <c r="G537" s="8"/>
      <c r="H537" s="192"/>
      <c r="I537" s="102" t="e">
        <f>SUM(K537+M537+O537)</f>
        <v>#REF!</v>
      </c>
      <c r="J537" s="103" t="str">
        <f>"(15)"</f>
        <v>(15)</v>
      </c>
      <c r="K537" s="97" t="e">
        <f>'kuni 2025 detsember tegevuskava'!#REF!</f>
        <v>#REF!</v>
      </c>
      <c r="L537" s="98" t="str">
        <f>"(15)"</f>
        <v>(15)</v>
      </c>
      <c r="M537" s="102" t="e">
        <f>'kuni 2025 detsember tegevuskava'!#REF!</f>
        <v>#REF!</v>
      </c>
      <c r="N537" s="103" t="str">
        <f>"(15)"</f>
        <v>(15)</v>
      </c>
      <c r="O537" s="97" t="e">
        <f>'kuni 2025 detsember tegevuskava'!#REF!</f>
        <v>#REF!</v>
      </c>
      <c r="P537" s="87" t="str">
        <f>"(15)"</f>
        <v>(15)</v>
      </c>
    </row>
    <row r="538" spans="2:16" ht="14.15" customHeight="1" x14ac:dyDescent="0.35">
      <c r="B538" s="145"/>
      <c r="C538" s="8"/>
      <c r="D538" s="8"/>
      <c r="E538" s="8"/>
      <c r="F538" s="8"/>
      <c r="G538" s="8"/>
      <c r="H538" s="192"/>
      <c r="I538" s="102" t="e">
        <f>SUM(K538+M538+O538)</f>
        <v>#REF!</v>
      </c>
      <c r="J538" s="103" t="str">
        <f>"(50)"</f>
        <v>(50)</v>
      </c>
      <c r="K538" s="97" t="e">
        <f>'kuni 2025 detsember tegevuskava'!#REF!</f>
        <v>#REF!</v>
      </c>
      <c r="L538" s="98" t="str">
        <f>"(50)"</f>
        <v>(50)</v>
      </c>
      <c r="M538" s="102" t="e">
        <f>'kuni 2025 detsember tegevuskava'!#REF!</f>
        <v>#REF!</v>
      </c>
      <c r="N538" s="103" t="str">
        <f>"(50)"</f>
        <v>(50)</v>
      </c>
      <c r="O538" s="97" t="e">
        <f>'kuni 2025 detsember tegevuskava'!#REF!</f>
        <v>#REF!</v>
      </c>
      <c r="P538" s="87" t="str">
        <f>"(50)"</f>
        <v>(50)</v>
      </c>
    </row>
    <row r="539" spans="2:16" ht="14.15" customHeight="1" x14ac:dyDescent="0.35">
      <c r="B539" s="145"/>
      <c r="C539" s="8"/>
      <c r="D539" s="8"/>
      <c r="E539" s="8"/>
      <c r="F539" s="8"/>
      <c r="G539" s="8"/>
      <c r="H539" s="192"/>
      <c r="I539" s="102" t="e">
        <f>SUM(K539+M539+O539)</f>
        <v>#REF!</v>
      </c>
      <c r="J539" s="103" t="str">
        <f>"(55)"</f>
        <v>(55)</v>
      </c>
      <c r="K539" s="97" t="e">
        <f>'kuni 2025 detsember tegevuskava'!#REF!</f>
        <v>#REF!</v>
      </c>
      <c r="L539" s="98" t="str">
        <f>"(55)"</f>
        <v>(55)</v>
      </c>
      <c r="M539" s="102" t="e">
        <f>'kuni 2025 detsember tegevuskava'!#REF!</f>
        <v>#REF!</v>
      </c>
      <c r="N539" s="103" t="str">
        <f>"(55)"</f>
        <v>(55)</v>
      </c>
      <c r="O539" s="97" t="e">
        <f>'kuni 2025 detsember tegevuskava'!#REF!</f>
        <v>#REF!</v>
      </c>
      <c r="P539" s="87" t="str">
        <f>"(55)"</f>
        <v>(55)</v>
      </c>
    </row>
    <row r="540" spans="2:16" ht="14.15" customHeight="1" x14ac:dyDescent="0.35">
      <c r="B540" s="145"/>
      <c r="C540" s="8"/>
      <c r="D540" s="8"/>
      <c r="E540" s="8"/>
      <c r="F540" s="8"/>
      <c r="G540" s="8"/>
      <c r="H540" s="192"/>
      <c r="I540" s="183" t="s">
        <v>553</v>
      </c>
      <c r="J540" s="195"/>
      <c r="K540" s="195"/>
      <c r="L540" s="195"/>
      <c r="M540" s="195"/>
      <c r="N540" s="195"/>
      <c r="O540" s="195"/>
      <c r="P540" s="196"/>
    </row>
    <row r="541" spans="2:16" ht="14.15" customHeight="1" x14ac:dyDescent="0.35">
      <c r="B541" s="145"/>
      <c r="C541" s="8"/>
      <c r="D541" s="8"/>
      <c r="E541" s="8"/>
      <c r="F541" s="8"/>
      <c r="G541" s="8"/>
      <c r="H541" s="192"/>
      <c r="I541" s="179" t="e">
        <f>SUM(I542:I544)</f>
        <v>#REF!</v>
      </c>
      <c r="J541" s="103"/>
      <c r="K541" s="172" t="e">
        <f>SUM(K542:K544)</f>
        <v>#REF!</v>
      </c>
      <c r="L541" s="184"/>
      <c r="M541" s="179" t="e">
        <f>SUM(M542:M544)</f>
        <v>#REF!</v>
      </c>
      <c r="N541" s="168"/>
      <c r="O541" s="179" t="e">
        <f>SUM(O542:O544)</f>
        <v>#REF!</v>
      </c>
      <c r="P541" s="69"/>
    </row>
    <row r="542" spans="2:16" ht="14.15" customHeight="1" x14ac:dyDescent="0.35">
      <c r="B542" s="145"/>
      <c r="C542" s="8"/>
      <c r="D542" s="8"/>
      <c r="E542" s="8"/>
      <c r="F542" s="8"/>
      <c r="G542" s="8"/>
      <c r="H542" s="192"/>
      <c r="I542" s="102" t="e">
        <f>SUM(K542+M542+O542)</f>
        <v>#REF!</v>
      </c>
      <c r="J542" s="103" t="str">
        <f>"(15)"</f>
        <v>(15)</v>
      </c>
      <c r="K542" s="97" t="e">
        <f>SUM(K537*1.2)</f>
        <v>#REF!</v>
      </c>
      <c r="L542" s="98" t="str">
        <f>"(15)"</f>
        <v>(15)</v>
      </c>
      <c r="M542" s="102" t="e">
        <f>SUM(M537*1.22)</f>
        <v>#REF!</v>
      </c>
      <c r="N542" s="103" t="str">
        <f>"(15)"</f>
        <v>(15)</v>
      </c>
      <c r="O542" s="102" t="e">
        <f>SUM(O537*1.22)</f>
        <v>#REF!</v>
      </c>
      <c r="P542" s="87" t="str">
        <f>"(15)"</f>
        <v>(15)</v>
      </c>
    </row>
    <row r="543" spans="2:16" ht="14.15" customHeight="1" x14ac:dyDescent="0.35">
      <c r="B543" s="145"/>
      <c r="C543" s="8"/>
      <c r="D543" s="8"/>
      <c r="E543" s="8"/>
      <c r="F543" s="8"/>
      <c r="G543" s="8"/>
      <c r="H543" s="192"/>
      <c r="I543" s="102" t="e">
        <f>SUM(K543+M543+O543)</f>
        <v>#REF!</v>
      </c>
      <c r="J543" s="103" t="str">
        <f>"(50)"</f>
        <v>(50)</v>
      </c>
      <c r="K543" s="97" t="e">
        <f>K538</f>
        <v>#REF!</v>
      </c>
      <c r="L543" s="98" t="str">
        <f>"(50)"</f>
        <v>(50)</v>
      </c>
      <c r="M543" s="102" t="e">
        <f>M538</f>
        <v>#REF!</v>
      </c>
      <c r="N543" s="103" t="str">
        <f>"(50)"</f>
        <v>(50)</v>
      </c>
      <c r="O543" s="102" t="e">
        <f>O538</f>
        <v>#REF!</v>
      </c>
      <c r="P543" s="87" t="str">
        <f>"(50)"</f>
        <v>(50)</v>
      </c>
    </row>
    <row r="544" spans="2:16" ht="14.15" customHeight="1" thickBot="1" x14ac:dyDescent="0.4">
      <c r="B544" s="160"/>
      <c r="C544" s="161"/>
      <c r="D544" s="161"/>
      <c r="E544" s="161"/>
      <c r="F544" s="161"/>
      <c r="G544" s="161"/>
      <c r="H544" s="193"/>
      <c r="I544" s="130" t="e">
        <f>SUM(K544+M544+O544)</f>
        <v>#REF!</v>
      </c>
      <c r="J544" s="131" t="str">
        <f>"(55)"</f>
        <v>(55)</v>
      </c>
      <c r="K544" s="93" t="e">
        <f>SUM(K539*1.2)</f>
        <v>#REF!</v>
      </c>
      <c r="L544" s="94" t="str">
        <f>"(55)"</f>
        <v>(55)</v>
      </c>
      <c r="M544" s="130" t="e">
        <f>SUM(M539*1.22)</f>
        <v>#REF!</v>
      </c>
      <c r="N544" s="131" t="str">
        <f>"(55)"</f>
        <v>(55)</v>
      </c>
      <c r="O544" s="130" t="e">
        <f>SUM(O539*1.22)</f>
        <v>#REF!</v>
      </c>
      <c r="P544" s="96" t="str">
        <f>"(55)"</f>
        <v>(55)</v>
      </c>
    </row>
    <row r="545" spans="2:16" ht="16.5" x14ac:dyDescent="0.35">
      <c r="B545" s="187" t="e">
        <f>'kuni 2025 detsember tegevuskava'!#REF!&amp;"/"&amp;'kuni 2025 detsember tegevuskava'!#REF!</f>
        <v>#REF!</v>
      </c>
      <c r="C545" s="156" t="e">
        <f>'kuni 2025 detsember tegevuskava'!#REF!</f>
        <v>#REF!</v>
      </c>
      <c r="D545" s="156" t="e">
        <f>'kuni 2025 detsember tegevuskava'!#REF!</f>
        <v>#REF!</v>
      </c>
      <c r="E545" s="156" t="e">
        <f>'kuni 2025 detsember tegevuskava'!#REF!</f>
        <v>#REF!</v>
      </c>
      <c r="F545" s="156" t="e">
        <f>'kuni 2025 detsember tegevuskava'!#REF!&amp;"/"</f>
        <v>#REF!</v>
      </c>
      <c r="G545" s="156" t="e" cm="1">
        <f t="array" ref="G545">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45" s="194" t="e" cm="1">
        <f t="array" ref="H545">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45" s="132" t="e">
        <f>SUM(I546:I548)</f>
        <v>#REF!</v>
      </c>
      <c r="J545" s="133"/>
      <c r="K545" s="81" t="e">
        <f>SUM(K546:K548)</f>
        <v>#REF!</v>
      </c>
      <c r="L545" s="83"/>
      <c r="M545" s="132" t="e">
        <f>SUM(M546:M548)</f>
        <v>#REF!</v>
      </c>
      <c r="N545" s="133"/>
      <c r="O545" s="81" t="e">
        <f>SUM(O546:O548)</f>
        <v>#REF!</v>
      </c>
      <c r="P545" s="85"/>
    </row>
    <row r="546" spans="2:16" ht="16.5" x14ac:dyDescent="0.35">
      <c r="B546" s="145"/>
      <c r="C546" s="8"/>
      <c r="D546" s="8"/>
      <c r="E546" s="8"/>
      <c r="F546" s="8"/>
      <c r="G546" s="8"/>
      <c r="H546" s="192"/>
      <c r="I546" s="102" t="e">
        <f>SUM(K546+M546+O546)</f>
        <v>#REF!</v>
      </c>
      <c r="J546" s="103" t="str">
        <f>"(15)"</f>
        <v>(15)</v>
      </c>
      <c r="K546" s="97" t="e">
        <f>'kuni 2025 detsember tegevuskava'!#REF!</f>
        <v>#REF!</v>
      </c>
      <c r="L546" s="98" t="str">
        <f>"(15)"</f>
        <v>(15)</v>
      </c>
      <c r="M546" s="102" t="e">
        <f>'kuni 2025 detsember tegevuskava'!#REF!</f>
        <v>#REF!</v>
      </c>
      <c r="N546" s="103" t="str">
        <f>"(15)"</f>
        <v>(15)</v>
      </c>
      <c r="O546" s="97" t="e">
        <f>'kuni 2025 detsember tegevuskava'!#REF!</f>
        <v>#REF!</v>
      </c>
      <c r="P546" s="87" t="str">
        <f>"(15)"</f>
        <v>(15)</v>
      </c>
    </row>
    <row r="547" spans="2:16" ht="16.5" x14ac:dyDescent="0.35">
      <c r="B547" s="145"/>
      <c r="C547" s="8"/>
      <c r="D547" s="8"/>
      <c r="E547" s="8"/>
      <c r="F547" s="8"/>
      <c r="G547" s="8"/>
      <c r="H547" s="192"/>
      <c r="I547" s="102" t="e">
        <f>SUM(K547+M547+O547)</f>
        <v>#REF!</v>
      </c>
      <c r="J547" s="103" t="str">
        <f>"(50)"</f>
        <v>(50)</v>
      </c>
      <c r="K547" s="97" t="e">
        <f>'kuni 2025 detsember tegevuskava'!#REF!</f>
        <v>#REF!</v>
      </c>
      <c r="L547" s="98" t="str">
        <f>"(50)"</f>
        <v>(50)</v>
      </c>
      <c r="M547" s="102" t="e">
        <f>'kuni 2025 detsember tegevuskava'!#REF!</f>
        <v>#REF!</v>
      </c>
      <c r="N547" s="103" t="str">
        <f>"(50)"</f>
        <v>(50)</v>
      </c>
      <c r="O547" s="97" t="e">
        <f>'kuni 2025 detsember tegevuskava'!#REF!</f>
        <v>#REF!</v>
      </c>
      <c r="P547" s="87" t="str">
        <f>"(50)"</f>
        <v>(50)</v>
      </c>
    </row>
    <row r="548" spans="2:16" ht="16.5" x14ac:dyDescent="0.35">
      <c r="B548" s="145"/>
      <c r="C548" s="8"/>
      <c r="D548" s="8"/>
      <c r="E548" s="8"/>
      <c r="F548" s="8"/>
      <c r="G548" s="8"/>
      <c r="H548" s="192"/>
      <c r="I548" s="102" t="e">
        <f>SUM(K548+M548+O548)</f>
        <v>#REF!</v>
      </c>
      <c r="J548" s="103" t="str">
        <f>"(55)"</f>
        <v>(55)</v>
      </c>
      <c r="K548" s="97" t="e">
        <f>'kuni 2025 detsember tegevuskava'!#REF!</f>
        <v>#REF!</v>
      </c>
      <c r="L548" s="98" t="str">
        <f>"(55)"</f>
        <v>(55)</v>
      </c>
      <c r="M548" s="102" t="e">
        <f>'kuni 2025 detsember tegevuskava'!#REF!</f>
        <v>#REF!</v>
      </c>
      <c r="N548" s="103" t="str">
        <f>"(55)"</f>
        <v>(55)</v>
      </c>
      <c r="O548" s="97" t="e">
        <f>'kuni 2025 detsember tegevuskava'!#REF!</f>
        <v>#REF!</v>
      </c>
      <c r="P548" s="87" t="str">
        <f>"(55)"</f>
        <v>(55)</v>
      </c>
    </row>
    <row r="549" spans="2:16" ht="16.5" x14ac:dyDescent="0.35">
      <c r="B549" s="145"/>
      <c r="C549" s="8"/>
      <c r="D549" s="8"/>
      <c r="E549" s="8"/>
      <c r="F549" s="8"/>
      <c r="G549" s="8"/>
      <c r="H549" s="192"/>
      <c r="I549" s="183" t="s">
        <v>553</v>
      </c>
      <c r="J549" s="195"/>
      <c r="K549" s="195"/>
      <c r="L549" s="195"/>
      <c r="M549" s="195"/>
      <c r="N549" s="195"/>
      <c r="O549" s="195"/>
      <c r="P549" s="196"/>
    </row>
    <row r="550" spans="2:16" ht="16.5" x14ac:dyDescent="0.35">
      <c r="B550" s="145"/>
      <c r="C550" s="8"/>
      <c r="D550" s="8"/>
      <c r="E550" s="8"/>
      <c r="F550" s="8"/>
      <c r="G550" s="8"/>
      <c r="H550" s="192"/>
      <c r="I550" s="179" t="e">
        <f>SUM(I551:I553)</f>
        <v>#REF!</v>
      </c>
      <c r="J550" s="103"/>
      <c r="K550" s="172" t="e">
        <f>SUM(K551:K553)</f>
        <v>#REF!</v>
      </c>
      <c r="L550" s="184"/>
      <c r="M550" s="179" t="e">
        <f>SUM(M551:M553)</f>
        <v>#REF!</v>
      </c>
      <c r="N550" s="168"/>
      <c r="O550" s="179" t="e">
        <f>SUM(O551:O553)</f>
        <v>#REF!</v>
      </c>
      <c r="P550" s="69"/>
    </row>
    <row r="551" spans="2:16" ht="16.5" x14ac:dyDescent="0.35">
      <c r="B551" s="145"/>
      <c r="C551" s="8"/>
      <c r="D551" s="8"/>
      <c r="E551" s="8"/>
      <c r="F551" s="8"/>
      <c r="G551" s="8"/>
      <c r="H551" s="192"/>
      <c r="I551" s="102" t="e">
        <f>SUM(K551+M551+O551)</f>
        <v>#REF!</v>
      </c>
      <c r="J551" s="103" t="str">
        <f>"(15)"</f>
        <v>(15)</v>
      </c>
      <c r="K551" s="97" t="e">
        <f>SUM(K546*1.2)</f>
        <v>#REF!</v>
      </c>
      <c r="L551" s="98" t="str">
        <f>"(15)"</f>
        <v>(15)</v>
      </c>
      <c r="M551" s="102" t="e">
        <f>SUM(M546*1.22)</f>
        <v>#REF!</v>
      </c>
      <c r="N551" s="103" t="str">
        <f>"(15)"</f>
        <v>(15)</v>
      </c>
      <c r="O551" s="102" t="e">
        <f>SUM(O546*1.22)</f>
        <v>#REF!</v>
      </c>
      <c r="P551" s="87" t="str">
        <f>"(15)"</f>
        <v>(15)</v>
      </c>
    </row>
    <row r="552" spans="2:16" ht="16.5" x14ac:dyDescent="0.35">
      <c r="B552" s="145"/>
      <c r="C552" s="8"/>
      <c r="D552" s="8"/>
      <c r="E552" s="8"/>
      <c r="F552" s="8"/>
      <c r="G552" s="8"/>
      <c r="H552" s="192"/>
      <c r="I552" s="102" t="e">
        <f>SUM(K552+M552+O552)</f>
        <v>#REF!</v>
      </c>
      <c r="J552" s="103" t="str">
        <f>"(50)"</f>
        <v>(50)</v>
      </c>
      <c r="K552" s="97" t="e">
        <f>K547</f>
        <v>#REF!</v>
      </c>
      <c r="L552" s="98" t="str">
        <f>"(50)"</f>
        <v>(50)</v>
      </c>
      <c r="M552" s="102" t="e">
        <f>M547</f>
        <v>#REF!</v>
      </c>
      <c r="N552" s="103" t="str">
        <f>"(50)"</f>
        <v>(50)</v>
      </c>
      <c r="O552" s="102" t="e">
        <f>O547</f>
        <v>#REF!</v>
      </c>
      <c r="P552" s="87" t="str">
        <f>"(50)"</f>
        <v>(50)</v>
      </c>
    </row>
    <row r="553" spans="2:16" ht="17" thickBot="1" x14ac:dyDescent="0.4">
      <c r="B553" s="160"/>
      <c r="C553" s="161"/>
      <c r="D553" s="161"/>
      <c r="E553" s="161"/>
      <c r="F553" s="161"/>
      <c r="G553" s="161"/>
      <c r="H553" s="193"/>
      <c r="I553" s="102" t="e">
        <f>SUM(K553+M553+O553)</f>
        <v>#REF!</v>
      </c>
      <c r="J553" s="103" t="str">
        <f>"(55)"</f>
        <v>(55)</v>
      </c>
      <c r="K553" s="97" t="e">
        <f>SUM(K548*1.2)</f>
        <v>#REF!</v>
      </c>
      <c r="L553" s="98" t="str">
        <f>"(55)"</f>
        <v>(55)</v>
      </c>
      <c r="M553" s="102" t="e">
        <f>SUM(M548*1.22)</f>
        <v>#REF!</v>
      </c>
      <c r="N553" s="103" t="str">
        <f>"(55)"</f>
        <v>(55)</v>
      </c>
      <c r="O553" s="102" t="e">
        <f>SUM(O548*1.22)</f>
        <v>#REF!</v>
      </c>
      <c r="P553" s="87" t="str">
        <f>"(55)"</f>
        <v>(55)</v>
      </c>
    </row>
    <row r="554" spans="2:16" ht="16.5" x14ac:dyDescent="0.35">
      <c r="B554" s="187" t="e">
        <f>'kuni 2025 detsember tegevuskava'!#REF!&amp;"/"&amp;'kuni 2025 detsember tegevuskava'!#REF!</f>
        <v>#REF!</v>
      </c>
      <c r="C554" s="156" t="e">
        <f>'kuni 2025 detsember tegevuskava'!#REF!</f>
        <v>#REF!</v>
      </c>
      <c r="D554" s="156" t="e">
        <f>'kuni 2025 detsember tegevuskava'!#REF!</f>
        <v>#REF!</v>
      </c>
      <c r="E554" s="156" t="e">
        <f>'kuni 2025 detsember tegevuskava'!#REF!</f>
        <v>#REF!</v>
      </c>
      <c r="F554" s="156" t="e">
        <f>'kuni 2025 detsember tegevuskava'!#REF!&amp;"/"</f>
        <v>#REF!</v>
      </c>
      <c r="G554" s="156" t="e" cm="1">
        <f t="array" ref="G554">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54" s="194" t="e" cm="1">
        <f t="array" ref="H554">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54" s="132" t="e">
        <f>SUM(I555:I557)</f>
        <v>#REF!</v>
      </c>
      <c r="J554" s="133"/>
      <c r="K554" s="81" t="e">
        <f>SUM(K555:K557)</f>
        <v>#REF!</v>
      </c>
      <c r="L554" s="83"/>
      <c r="M554" s="132" t="e">
        <f>SUM(M555:M557)</f>
        <v>#REF!</v>
      </c>
      <c r="N554" s="133"/>
      <c r="O554" s="81" t="e">
        <f>SUM(O555:O557)</f>
        <v>#REF!</v>
      </c>
      <c r="P554" s="85"/>
    </row>
    <row r="555" spans="2:16" ht="16.5" x14ac:dyDescent="0.35">
      <c r="B555" s="145"/>
      <c r="C555" s="8"/>
      <c r="D555" s="8"/>
      <c r="E555" s="8"/>
      <c r="F555" s="8"/>
      <c r="G555" s="8"/>
      <c r="H555" s="192"/>
      <c r="I555" s="102" t="e">
        <f>SUM(K555+M555+O555)</f>
        <v>#REF!</v>
      </c>
      <c r="J555" s="103" t="str">
        <f>"(15)"</f>
        <v>(15)</v>
      </c>
      <c r="K555" s="97" t="e">
        <f>'kuni 2025 detsember tegevuskava'!#REF!</f>
        <v>#REF!</v>
      </c>
      <c r="L555" s="98" t="str">
        <f>"(15)"</f>
        <v>(15)</v>
      </c>
      <c r="M555" s="102" t="e">
        <f>'kuni 2025 detsember tegevuskava'!#REF!</f>
        <v>#REF!</v>
      </c>
      <c r="N555" s="103" t="str">
        <f>"(15)"</f>
        <v>(15)</v>
      </c>
      <c r="O555" s="97" t="e">
        <f>'kuni 2025 detsember tegevuskava'!#REF!</f>
        <v>#REF!</v>
      </c>
      <c r="P555" s="87" t="str">
        <f>"(15)"</f>
        <v>(15)</v>
      </c>
    </row>
    <row r="556" spans="2:16" ht="16.5" x14ac:dyDescent="0.35">
      <c r="B556" s="145"/>
      <c r="C556" s="8"/>
      <c r="D556" s="8"/>
      <c r="E556" s="8"/>
      <c r="F556" s="8"/>
      <c r="G556" s="8"/>
      <c r="H556" s="192"/>
      <c r="I556" s="102" t="e">
        <f>SUM(K556+M556+O556)</f>
        <v>#REF!</v>
      </c>
      <c r="J556" s="103" t="str">
        <f>"(50)"</f>
        <v>(50)</v>
      </c>
      <c r="K556" s="97" t="e">
        <f>'kuni 2025 detsember tegevuskava'!#REF!</f>
        <v>#REF!</v>
      </c>
      <c r="L556" s="98" t="str">
        <f>"(50)"</f>
        <v>(50)</v>
      </c>
      <c r="M556" s="102" t="e">
        <f>'kuni 2025 detsember tegevuskava'!#REF!</f>
        <v>#REF!</v>
      </c>
      <c r="N556" s="103" t="str">
        <f>"(50)"</f>
        <v>(50)</v>
      </c>
      <c r="O556" s="97" t="e">
        <f>'kuni 2025 detsember tegevuskava'!#REF!</f>
        <v>#REF!</v>
      </c>
      <c r="P556" s="87" t="str">
        <f>"(50)"</f>
        <v>(50)</v>
      </c>
    </row>
    <row r="557" spans="2:16" ht="16.5" x14ac:dyDescent="0.35">
      <c r="B557" s="145"/>
      <c r="C557" s="8"/>
      <c r="D557" s="8"/>
      <c r="E557" s="8"/>
      <c r="F557" s="8"/>
      <c r="G557" s="8"/>
      <c r="H557" s="192"/>
      <c r="I557" s="102" t="e">
        <f>SUM(K557+M557+O557)</f>
        <v>#REF!</v>
      </c>
      <c r="J557" s="103" t="str">
        <f>"(55)"</f>
        <v>(55)</v>
      </c>
      <c r="K557" s="97" t="e">
        <f>'kuni 2025 detsember tegevuskava'!#REF!</f>
        <v>#REF!</v>
      </c>
      <c r="L557" s="98" t="str">
        <f>"(55)"</f>
        <v>(55)</v>
      </c>
      <c r="M557" s="102" t="e">
        <f>'kuni 2025 detsember tegevuskava'!#REF!</f>
        <v>#REF!</v>
      </c>
      <c r="N557" s="103" t="str">
        <f>"(55)"</f>
        <v>(55)</v>
      </c>
      <c r="O557" s="97" t="e">
        <f>'kuni 2025 detsember tegevuskava'!#REF!</f>
        <v>#REF!</v>
      </c>
      <c r="P557" s="87" t="str">
        <f>"(55)"</f>
        <v>(55)</v>
      </c>
    </row>
    <row r="558" spans="2:16" ht="16.5" x14ac:dyDescent="0.35">
      <c r="B558" s="145"/>
      <c r="C558" s="8"/>
      <c r="D558" s="8"/>
      <c r="E558" s="8"/>
      <c r="F558" s="8"/>
      <c r="G558" s="8"/>
      <c r="H558" s="192"/>
      <c r="I558" s="183" t="s">
        <v>553</v>
      </c>
      <c r="J558" s="195"/>
      <c r="K558" s="195"/>
      <c r="L558" s="195"/>
      <c r="M558" s="195"/>
      <c r="N558" s="195"/>
      <c r="O558" s="195"/>
      <c r="P558" s="196"/>
    </row>
    <row r="559" spans="2:16" ht="16.5" x14ac:dyDescent="0.35">
      <c r="B559" s="145"/>
      <c r="C559" s="8"/>
      <c r="D559" s="8"/>
      <c r="E559" s="8"/>
      <c r="F559" s="8"/>
      <c r="G559" s="8"/>
      <c r="H559" s="192"/>
      <c r="I559" s="179" t="e">
        <f>SUM(I560:I562)</f>
        <v>#REF!</v>
      </c>
      <c r="J559" s="103"/>
      <c r="K559" s="172" t="e">
        <f>SUM(K560:K562)</f>
        <v>#REF!</v>
      </c>
      <c r="L559" s="184"/>
      <c r="M559" s="179" t="e">
        <f>SUM(M560:M562)</f>
        <v>#REF!</v>
      </c>
      <c r="N559" s="168"/>
      <c r="O559" s="179" t="e">
        <f>SUM(O560:O562)</f>
        <v>#REF!</v>
      </c>
      <c r="P559" s="69"/>
    </row>
    <row r="560" spans="2:16" ht="16.5" x14ac:dyDescent="0.35">
      <c r="B560" s="145"/>
      <c r="C560" s="8"/>
      <c r="D560" s="8"/>
      <c r="E560" s="8"/>
      <c r="F560" s="8"/>
      <c r="G560" s="8"/>
      <c r="H560" s="192"/>
      <c r="I560" s="102" t="e">
        <f>SUM(K560+M560+O560)</f>
        <v>#REF!</v>
      </c>
      <c r="J560" s="103" t="str">
        <f>"(15)"</f>
        <v>(15)</v>
      </c>
      <c r="K560" s="97" t="e">
        <f>SUM(K555*1.2)</f>
        <v>#REF!</v>
      </c>
      <c r="L560" s="98" t="str">
        <f>"(15)"</f>
        <v>(15)</v>
      </c>
      <c r="M560" s="102" t="e">
        <f>SUM(M555*1.22)</f>
        <v>#REF!</v>
      </c>
      <c r="N560" s="103" t="str">
        <f>"(15)"</f>
        <v>(15)</v>
      </c>
      <c r="O560" s="102" t="e">
        <f>SUM(O555*1.22)</f>
        <v>#REF!</v>
      </c>
      <c r="P560" s="87" t="str">
        <f>"(15)"</f>
        <v>(15)</v>
      </c>
    </row>
    <row r="561" spans="2:16" ht="16.5" x14ac:dyDescent="0.35">
      <c r="B561" s="145"/>
      <c r="C561" s="8"/>
      <c r="D561" s="8"/>
      <c r="E561" s="8"/>
      <c r="F561" s="8"/>
      <c r="G561" s="8"/>
      <c r="H561" s="192"/>
      <c r="I561" s="102" t="e">
        <f>SUM(K561+M561+O561)</f>
        <v>#REF!</v>
      </c>
      <c r="J561" s="103" t="str">
        <f>"(50)"</f>
        <v>(50)</v>
      </c>
      <c r="K561" s="97" t="e">
        <f>K556</f>
        <v>#REF!</v>
      </c>
      <c r="L561" s="98" t="str">
        <f>"(50)"</f>
        <v>(50)</v>
      </c>
      <c r="M561" s="102" t="e">
        <f>M556</f>
        <v>#REF!</v>
      </c>
      <c r="N561" s="103" t="str">
        <f>"(50)"</f>
        <v>(50)</v>
      </c>
      <c r="O561" s="102" t="e">
        <f>O556</f>
        <v>#REF!</v>
      </c>
      <c r="P561" s="87" t="str">
        <f>"(50)"</f>
        <v>(50)</v>
      </c>
    </row>
    <row r="562" spans="2:16" ht="17" thickBot="1" x14ac:dyDescent="0.4">
      <c r="B562" s="160"/>
      <c r="C562" s="161"/>
      <c r="D562" s="161"/>
      <c r="E562" s="161"/>
      <c r="F562" s="161"/>
      <c r="G562" s="161"/>
      <c r="H562" s="193"/>
      <c r="I562" s="130" t="e">
        <f>SUM(K562+M562+O562)</f>
        <v>#REF!</v>
      </c>
      <c r="J562" s="131" t="str">
        <f>"(55)"</f>
        <v>(55)</v>
      </c>
      <c r="K562" s="93" t="e">
        <f>SUM(K557*1.2)</f>
        <v>#REF!</v>
      </c>
      <c r="L562" s="94" t="str">
        <f>"(55)"</f>
        <v>(55)</v>
      </c>
      <c r="M562" s="130" t="e">
        <f>SUM(M557*1.22)</f>
        <v>#REF!</v>
      </c>
      <c r="N562" s="131" t="str">
        <f>"(55)"</f>
        <v>(55)</v>
      </c>
      <c r="O562" s="130" t="e">
        <f>SUM(O557*1.22)</f>
        <v>#REF!</v>
      </c>
      <c r="P562" s="96" t="str">
        <f>"(55)"</f>
        <v>(55)</v>
      </c>
    </row>
    <row r="563" spans="2:16" ht="16.5" x14ac:dyDescent="0.35">
      <c r="B563" s="187" t="e">
        <f>'kuni 2025 detsember tegevuskava'!#REF!&amp;"/"&amp;'kuni 2025 detsember tegevuskava'!#REF!</f>
        <v>#REF!</v>
      </c>
      <c r="C563" s="156" t="e">
        <f>'kuni 2025 detsember tegevuskava'!#REF!</f>
        <v>#REF!</v>
      </c>
      <c r="D563" s="156" t="e">
        <f>'kuni 2025 detsember tegevuskava'!#REF!</f>
        <v>#REF!</v>
      </c>
      <c r="E563" s="156" t="e">
        <f>'kuni 2025 detsember tegevuskava'!#REF!</f>
        <v>#REF!</v>
      </c>
      <c r="F563" s="156" t="e">
        <f>'kuni 2025 detsember tegevuskava'!#REF!&amp;"/"</f>
        <v>#REF!</v>
      </c>
      <c r="G563" s="156" t="e" cm="1">
        <f t="array" ref="G563">_xlfn.IFS('kuni 2025 detsember tegevuskava'!#REF!='kuni 2025 detsember tegevuskava'!$G$77,1,'kuni 2025 detsember tegevuskava'!#REF!='kuni 2025 detsember tegevuskava'!$G$78,2,'kuni 2025 detsember tegevuskava'!#REF!='kuni 2025 detsember tegevuskava'!$G$79,3,'kuni 2025 detsember tegevuskava'!#REF!='kuni 2025 detsember tegevuskava'!$G$80,4)</f>
        <v>#REF!</v>
      </c>
      <c r="H563" s="194" t="e" cm="1">
        <f t="array" ref="H563">_xlfn.IFS(OR('kuni 2025 detsember tegevuskava'!#REF!='kuni 2025 detsember tegevuskava'!$O$77,'kuni 2025 detsember tegevuskava'!#REF!='kuni 2025 detsember tegevuskava'!$O$79,'kuni 2025 detsember tegevuskava'!#REF!='kuni 2025 detsember tegevuskava'!$O$80,'kuni 2025 detsember tegevuskava'!#REF!='kuni 2025 detsember tegevuskava'!$O$81),1,'kuni 2025 detsember tegevuskava'!#REF!='kuni 2025 detsember tegevuskava'!$O$82,2,'kuni 2025 detsember tegevuskava'!#REF!='kuni 2025 detsember tegevuskava'!$O$83,2,'kuni 2025 detsember tegevuskava'!#REF!='kuni 2025 detsember tegevuskava'!$O$78,3)</f>
        <v>#REF!</v>
      </c>
      <c r="I563" s="179" t="e">
        <f>SUM(I564:I566)</f>
        <v>#REF!</v>
      </c>
      <c r="J563" s="103"/>
      <c r="K563" s="172" t="e">
        <f>SUM(K564:K566)</f>
        <v>#REF!</v>
      </c>
      <c r="L563" s="184"/>
      <c r="M563" s="179" t="e">
        <f>SUM(M564:M566)</f>
        <v>#REF!</v>
      </c>
      <c r="N563" s="103"/>
      <c r="O563" s="172" t="e">
        <f>SUM(O564:O566)</f>
        <v>#REF!</v>
      </c>
      <c r="P563" s="87"/>
    </row>
    <row r="564" spans="2:16" ht="16.5" x14ac:dyDescent="0.35">
      <c r="B564" s="145"/>
      <c r="C564" s="8"/>
      <c r="D564" s="8"/>
      <c r="E564" s="8"/>
      <c r="F564" s="8"/>
      <c r="G564" s="8"/>
      <c r="H564" s="192"/>
      <c r="I564" s="102" t="e">
        <f>SUM(K564+M564+O564)</f>
        <v>#REF!</v>
      </c>
      <c r="J564" s="103" t="str">
        <f>"(15)"</f>
        <v>(15)</v>
      </c>
      <c r="K564" s="97" t="e">
        <f>'kuni 2025 detsember tegevuskava'!#REF!</f>
        <v>#REF!</v>
      </c>
      <c r="L564" s="98" t="str">
        <f>"(15)"</f>
        <v>(15)</v>
      </c>
      <c r="M564" s="102" t="e">
        <f>'kuni 2025 detsember tegevuskava'!#REF!</f>
        <v>#REF!</v>
      </c>
      <c r="N564" s="103" t="str">
        <f>"(15)"</f>
        <v>(15)</v>
      </c>
      <c r="O564" s="97" t="e">
        <f>'kuni 2025 detsember tegevuskava'!#REF!</f>
        <v>#REF!</v>
      </c>
      <c r="P564" s="87" t="str">
        <f>"(15)"</f>
        <v>(15)</v>
      </c>
    </row>
    <row r="565" spans="2:16" ht="16.5" x14ac:dyDescent="0.35">
      <c r="B565" s="145"/>
      <c r="C565" s="8"/>
      <c r="D565" s="8"/>
      <c r="E565" s="8"/>
      <c r="F565" s="8"/>
      <c r="G565" s="8"/>
      <c r="H565" s="192"/>
      <c r="I565" s="102" t="e">
        <f>SUM(K565+M565+O565)</f>
        <v>#REF!</v>
      </c>
      <c r="J565" s="103" t="str">
        <f>"(50)"</f>
        <v>(50)</v>
      </c>
      <c r="K565" s="97" t="e">
        <f>'kuni 2025 detsember tegevuskava'!#REF!</f>
        <v>#REF!</v>
      </c>
      <c r="L565" s="98" t="str">
        <f>"(50)"</f>
        <v>(50)</v>
      </c>
      <c r="M565" s="102" t="e">
        <f>'kuni 2025 detsember tegevuskava'!#REF!</f>
        <v>#REF!</v>
      </c>
      <c r="N565" s="103" t="str">
        <f>"(50)"</f>
        <v>(50)</v>
      </c>
      <c r="O565" s="97" t="e">
        <f>'kuni 2025 detsember tegevuskava'!#REF!</f>
        <v>#REF!</v>
      </c>
      <c r="P565" s="87" t="str">
        <f>"(50)"</f>
        <v>(50)</v>
      </c>
    </row>
    <row r="566" spans="2:16" ht="16.5" x14ac:dyDescent="0.35">
      <c r="B566" s="145"/>
      <c r="C566" s="8"/>
      <c r="D566" s="8"/>
      <c r="E566" s="8"/>
      <c r="F566" s="8"/>
      <c r="G566" s="8"/>
      <c r="H566" s="192"/>
      <c r="I566" s="102" t="e">
        <f>SUM(K566+M566+O566)</f>
        <v>#REF!</v>
      </c>
      <c r="J566" s="103" t="str">
        <f>"(55)"</f>
        <v>(55)</v>
      </c>
      <c r="K566" s="97" t="e">
        <f>'kuni 2025 detsember tegevuskava'!#REF!</f>
        <v>#REF!</v>
      </c>
      <c r="L566" s="98" t="str">
        <f>"(55)"</f>
        <v>(55)</v>
      </c>
      <c r="M566" s="102" t="e">
        <f>'kuni 2025 detsember tegevuskava'!#REF!</f>
        <v>#REF!</v>
      </c>
      <c r="N566" s="103" t="str">
        <f>"(55)"</f>
        <v>(55)</v>
      </c>
      <c r="O566" s="97" t="e">
        <f>'kuni 2025 detsember tegevuskava'!#REF!</f>
        <v>#REF!</v>
      </c>
      <c r="P566" s="87" t="str">
        <f>"(55)"</f>
        <v>(55)</v>
      </c>
    </row>
    <row r="567" spans="2:16" ht="16.5" x14ac:dyDescent="0.35">
      <c r="B567" s="145"/>
      <c r="C567" s="8"/>
      <c r="D567" s="8"/>
      <c r="E567" s="8"/>
      <c r="F567" s="8"/>
      <c r="G567" s="8"/>
      <c r="H567" s="192"/>
      <c r="I567" s="183" t="s">
        <v>553</v>
      </c>
      <c r="J567" s="195"/>
      <c r="K567" s="195"/>
      <c r="L567" s="195"/>
      <c r="M567" s="195"/>
      <c r="N567" s="195"/>
      <c r="O567" s="195"/>
      <c r="P567" s="196"/>
    </row>
    <row r="568" spans="2:16" ht="16.5" x14ac:dyDescent="0.35">
      <c r="B568" s="145"/>
      <c r="C568" s="8"/>
      <c r="D568" s="8"/>
      <c r="E568" s="8"/>
      <c r="F568" s="8"/>
      <c r="G568" s="8"/>
      <c r="H568" s="192"/>
      <c r="I568" s="179" t="e">
        <f>SUM(I569:I571)</f>
        <v>#REF!</v>
      </c>
      <c r="J568" s="103"/>
      <c r="K568" s="172" t="e">
        <f>SUM(K569:K571)</f>
        <v>#REF!</v>
      </c>
      <c r="L568" s="184"/>
      <c r="M568" s="179" t="e">
        <f>SUM(M569:M571)</f>
        <v>#REF!</v>
      </c>
      <c r="N568" s="168"/>
      <c r="O568" s="179" t="e">
        <f>SUM(O569:O571)</f>
        <v>#REF!</v>
      </c>
      <c r="P568" s="69"/>
    </row>
    <row r="569" spans="2:16" ht="16.5" x14ac:dyDescent="0.35">
      <c r="B569" s="145"/>
      <c r="C569" s="8"/>
      <c r="D569" s="8"/>
      <c r="E569" s="8"/>
      <c r="F569" s="8"/>
      <c r="G569" s="8"/>
      <c r="H569" s="192"/>
      <c r="I569" s="102" t="e">
        <f>SUM(K569+M569+O569)</f>
        <v>#REF!</v>
      </c>
      <c r="J569" s="103" t="str">
        <f>"(15)"</f>
        <v>(15)</v>
      </c>
      <c r="K569" s="97" t="e">
        <f>SUM(K564*1.2)</f>
        <v>#REF!</v>
      </c>
      <c r="L569" s="98" t="str">
        <f>"(15)"</f>
        <v>(15)</v>
      </c>
      <c r="M569" s="102" t="e">
        <f>SUM(M564*1.22)</f>
        <v>#REF!</v>
      </c>
      <c r="N569" s="103" t="str">
        <f>"(15)"</f>
        <v>(15)</v>
      </c>
      <c r="O569" s="102" t="e">
        <f>SUM(O564*1.22)</f>
        <v>#REF!</v>
      </c>
      <c r="P569" s="87" t="str">
        <f>"(15)"</f>
        <v>(15)</v>
      </c>
    </row>
    <row r="570" spans="2:16" ht="16.5" x14ac:dyDescent="0.35">
      <c r="B570" s="145"/>
      <c r="C570" s="8"/>
      <c r="D570" s="8"/>
      <c r="E570" s="8"/>
      <c r="F570" s="8"/>
      <c r="G570" s="8"/>
      <c r="H570" s="192"/>
      <c r="I570" s="102" t="e">
        <f>SUM(K570+M570+O570)</f>
        <v>#REF!</v>
      </c>
      <c r="J570" s="103" t="str">
        <f>"(50)"</f>
        <v>(50)</v>
      </c>
      <c r="K570" s="97" t="e">
        <f>K565</f>
        <v>#REF!</v>
      </c>
      <c r="L570" s="98" t="str">
        <f>"(50)"</f>
        <v>(50)</v>
      </c>
      <c r="M570" s="102" t="e">
        <f>M565</f>
        <v>#REF!</v>
      </c>
      <c r="N570" s="103" t="str">
        <f>"(50)"</f>
        <v>(50)</v>
      </c>
      <c r="O570" s="102" t="e">
        <f>O565</f>
        <v>#REF!</v>
      </c>
      <c r="P570" s="87" t="str">
        <f>"(50)"</f>
        <v>(50)</v>
      </c>
    </row>
    <row r="571" spans="2:16" ht="17" thickBot="1" x14ac:dyDescent="0.4">
      <c r="B571" s="160"/>
      <c r="C571" s="161"/>
      <c r="D571" s="161"/>
      <c r="E571" s="161"/>
      <c r="F571" s="161"/>
      <c r="G571" s="161"/>
      <c r="H571" s="193"/>
      <c r="I571" s="130" t="e">
        <f>SUM(K571+M571+O571)</f>
        <v>#REF!</v>
      </c>
      <c r="J571" s="131" t="str">
        <f>"(55)"</f>
        <v>(55)</v>
      </c>
      <c r="K571" s="93" t="e">
        <f>SUM(K566*1.2)</f>
        <v>#REF!</v>
      </c>
      <c r="L571" s="94" t="str">
        <f>"(55)"</f>
        <v>(55)</v>
      </c>
      <c r="M571" s="130" t="e">
        <f>SUM(M566*1.22)</f>
        <v>#REF!</v>
      </c>
      <c r="N571" s="131" t="str">
        <f>"(55)"</f>
        <v>(55)</v>
      </c>
      <c r="O571" s="130" t="e">
        <f>SUM(O566*1.22)</f>
        <v>#REF!</v>
      </c>
      <c r="P571" s="96" t="str">
        <f>"(55)"</f>
        <v>(55)</v>
      </c>
    </row>
  </sheetData>
  <mergeCells count="18">
    <mergeCell ref="B7:P7"/>
    <mergeCell ref="B10:P10"/>
    <mergeCell ref="B2:P2"/>
    <mergeCell ref="Q15:AA15"/>
    <mergeCell ref="Q16:AA16"/>
    <mergeCell ref="Q17:AA17"/>
    <mergeCell ref="M35:N35"/>
    <mergeCell ref="I36:J36"/>
    <mergeCell ref="K36:L36"/>
    <mergeCell ref="M36:N36"/>
    <mergeCell ref="K35:L35"/>
    <mergeCell ref="O35:P35"/>
    <mergeCell ref="O36:P36"/>
    <mergeCell ref="B35:B36"/>
    <mergeCell ref="C35:C36"/>
    <mergeCell ref="D35:D36"/>
    <mergeCell ref="F35:H36"/>
    <mergeCell ref="I35:J35"/>
  </mergeCells>
  <pageMargins left="0.23622047244094491" right="0.23622047244094491" top="0.74803149606299213" bottom="0.74803149606299213" header="0.31496062992125984" footer="0.31496062992125984"/>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topLeftCell="A3" zoomScale="90" zoomScaleNormal="90" workbookViewId="0">
      <selection activeCell="H19" sqref="H19"/>
    </sheetView>
  </sheetViews>
  <sheetFormatPr defaultColWidth="8.90625" defaultRowHeight="14.5" x14ac:dyDescent="0.35"/>
  <cols>
    <col min="1" max="1" width="52.08984375" style="39" customWidth="1"/>
    <col min="2" max="5" width="11.90625" style="39" customWidth="1"/>
    <col min="6" max="12" width="14.6328125" style="39" customWidth="1"/>
    <col min="13" max="16384" width="8.90625" style="39"/>
  </cols>
  <sheetData>
    <row r="2" spans="1:12" ht="15" thickBot="1" x14ac:dyDescent="0.4"/>
    <row r="3" spans="1:12" ht="156.5" thickBot="1" x14ac:dyDescent="0.4">
      <c r="A3" s="40" t="s">
        <v>554</v>
      </c>
      <c r="B3" s="41" t="s">
        <v>295</v>
      </c>
      <c r="C3" s="41">
        <v>2023</v>
      </c>
      <c r="D3" s="41">
        <v>2024</v>
      </c>
      <c r="E3" s="41">
        <v>2025</v>
      </c>
      <c r="F3" s="112" t="s">
        <v>555</v>
      </c>
      <c r="G3" s="113" t="s">
        <v>556</v>
      </c>
      <c r="H3" s="113" t="s">
        <v>557</v>
      </c>
      <c r="I3" s="113" t="s">
        <v>558</v>
      </c>
      <c r="J3" s="113" t="s">
        <v>559</v>
      </c>
      <c r="K3" s="113" t="s">
        <v>560</v>
      </c>
      <c r="L3" s="114" t="s">
        <v>561</v>
      </c>
    </row>
    <row r="4" spans="1:12" x14ac:dyDescent="0.35">
      <c r="A4" s="42" t="s">
        <v>562</v>
      </c>
      <c r="B4" s="43"/>
      <c r="C4" s="43"/>
      <c r="D4" s="44"/>
      <c r="E4" s="44"/>
      <c r="L4" s="45"/>
    </row>
    <row r="5" spans="1:12" x14ac:dyDescent="0.35">
      <c r="A5" s="78" t="s">
        <v>7</v>
      </c>
      <c r="B5" s="111">
        <f>SUM(C5:E5)</f>
        <v>1522336</v>
      </c>
      <c r="C5" s="46">
        <f>Tegevuskava!D29</f>
        <v>0</v>
      </c>
      <c r="D5" s="46">
        <f>Tegevuskava!E29</f>
        <v>290976</v>
      </c>
      <c r="E5" s="46">
        <f>Tegevuskava!F29</f>
        <v>1231360</v>
      </c>
      <c r="F5" s="47" t="s">
        <v>563</v>
      </c>
      <c r="G5" s="47" t="s">
        <v>563</v>
      </c>
      <c r="H5" s="47" t="s">
        <v>563</v>
      </c>
      <c r="I5" s="47" t="s">
        <v>563</v>
      </c>
      <c r="J5" s="47" t="s">
        <v>563</v>
      </c>
      <c r="K5" s="47" t="s">
        <v>563</v>
      </c>
      <c r="L5" s="48" t="s">
        <v>563</v>
      </c>
    </row>
    <row r="6" spans="1:12" ht="24" x14ac:dyDescent="0.35">
      <c r="A6" s="78" t="s">
        <v>543</v>
      </c>
      <c r="B6" s="111">
        <f t="shared" ref="B6:B8" si="0">SUM(C6:E6)</f>
        <v>0</v>
      </c>
      <c r="C6" s="46">
        <f>Tegevuskava!D30</f>
        <v>0</v>
      </c>
      <c r="D6" s="46">
        <f>Tegevuskava!E30</f>
        <v>0</v>
      </c>
      <c r="E6" s="46">
        <f>Tegevuskava!F30</f>
        <v>0</v>
      </c>
      <c r="F6" s="47" t="s">
        <v>563</v>
      </c>
      <c r="G6" s="47" t="s">
        <v>563</v>
      </c>
      <c r="H6" s="47" t="s">
        <v>563</v>
      </c>
      <c r="I6" s="47" t="s">
        <v>563</v>
      </c>
      <c r="J6" s="47" t="s">
        <v>563</v>
      </c>
      <c r="K6" s="47" t="s">
        <v>563</v>
      </c>
      <c r="L6" s="48" t="s">
        <v>563</v>
      </c>
    </row>
    <row r="7" spans="1:12" ht="36" x14ac:dyDescent="0.35">
      <c r="A7" s="78" t="s">
        <v>544</v>
      </c>
      <c r="B7" s="111">
        <f t="shared" si="0"/>
        <v>260946.3</v>
      </c>
      <c r="C7" s="46">
        <f>Tegevuskava!D31</f>
        <v>9323</v>
      </c>
      <c r="D7" s="46">
        <f>Tegevuskava!E31</f>
        <v>149226</v>
      </c>
      <c r="E7" s="46">
        <f>Tegevuskava!F31</f>
        <v>102397.3</v>
      </c>
      <c r="F7" s="47" t="s">
        <v>563</v>
      </c>
      <c r="G7" s="47" t="s">
        <v>563</v>
      </c>
      <c r="H7" s="47" t="s">
        <v>563</v>
      </c>
      <c r="I7" s="47" t="s">
        <v>563</v>
      </c>
      <c r="J7" s="47" t="s">
        <v>563</v>
      </c>
      <c r="K7" s="47" t="s">
        <v>563</v>
      </c>
      <c r="L7" s="48" t="s">
        <v>563</v>
      </c>
    </row>
    <row r="8" spans="1:12" ht="24.5" thickBot="1" x14ac:dyDescent="0.4">
      <c r="A8" s="79" t="s">
        <v>545</v>
      </c>
      <c r="B8" s="111">
        <f t="shared" si="0"/>
        <v>0</v>
      </c>
      <c r="C8" s="46">
        <f>Tegevuskava!D32</f>
        <v>0</v>
      </c>
      <c r="D8" s="46">
        <f>Tegevuskava!E32</f>
        <v>0</v>
      </c>
      <c r="E8" s="46">
        <f>Tegevuskava!F32</f>
        <v>0</v>
      </c>
      <c r="F8" s="47" t="s">
        <v>563</v>
      </c>
      <c r="G8" s="47" t="s">
        <v>563</v>
      </c>
      <c r="H8" s="47" t="s">
        <v>563</v>
      </c>
      <c r="I8" s="47" t="s">
        <v>563</v>
      </c>
      <c r="J8" s="47" t="s">
        <v>563</v>
      </c>
      <c r="K8" s="47" t="s">
        <v>563</v>
      </c>
      <c r="L8" s="48" t="s">
        <v>563</v>
      </c>
    </row>
    <row r="9" spans="1:12" ht="15" thickBot="1" x14ac:dyDescent="0.4">
      <c r="A9" s="49" t="s">
        <v>564</v>
      </c>
      <c r="B9" s="110">
        <f>SUM(B5:B8)</f>
        <v>1783282.3</v>
      </c>
      <c r="C9" s="110">
        <f>SUM(C5:C8)</f>
        <v>9323</v>
      </c>
      <c r="D9" s="110">
        <f>SUM(D5:D8)</f>
        <v>440202</v>
      </c>
      <c r="E9" s="110">
        <f>SUM(E5:E8)</f>
        <v>1333757.3</v>
      </c>
      <c r="F9" s="50"/>
      <c r="G9" s="50"/>
      <c r="H9" s="50"/>
      <c r="I9" s="50"/>
      <c r="J9" s="50"/>
      <c r="K9" s="50"/>
      <c r="L9" s="51"/>
    </row>
    <row r="10" spans="1:12" ht="15" thickBot="1" x14ac:dyDescent="0.4"/>
    <row r="11" spans="1:12" x14ac:dyDescent="0.35">
      <c r="A11" s="52" t="s">
        <v>25</v>
      </c>
      <c r="B11" s="622" t="s">
        <v>26</v>
      </c>
      <c r="C11" s="623"/>
      <c r="D11" s="623"/>
      <c r="E11" s="623"/>
      <c r="F11" s="623"/>
      <c r="G11" s="623"/>
      <c r="H11" s="623"/>
      <c r="I11" s="663"/>
    </row>
    <row r="12" spans="1:12" ht="29" x14ac:dyDescent="0.35">
      <c r="A12" s="53" t="s">
        <v>29</v>
      </c>
      <c r="B12" s="115" t="s">
        <v>565</v>
      </c>
      <c r="C12" s="116" t="s">
        <v>566</v>
      </c>
      <c r="D12" s="116" t="s">
        <v>567</v>
      </c>
      <c r="E12" s="116" t="s">
        <v>568</v>
      </c>
      <c r="F12" s="116" t="s">
        <v>569</v>
      </c>
      <c r="G12" s="116" t="s">
        <v>570</v>
      </c>
      <c r="H12" s="116" t="s">
        <v>571</v>
      </c>
      <c r="I12" s="117" t="s">
        <v>572</v>
      </c>
    </row>
    <row r="13" spans="1:12" ht="15" thickBot="1" x14ac:dyDescent="0.4">
      <c r="A13" s="54" t="s">
        <v>38</v>
      </c>
      <c r="B13" s="118">
        <f>'kuni 2025 detsember tegevuskava'!B19</f>
        <v>0</v>
      </c>
      <c r="C13" s="118">
        <f>'kuni 2025 detsember tegevuskava'!C19</f>
        <v>0</v>
      </c>
      <c r="D13" s="118">
        <f>'kuni 2025 detsember tegevuskava'!D19</f>
        <v>0</v>
      </c>
      <c r="E13" s="118">
        <f>'kuni 2025 detsember tegevuskava'!E19</f>
        <v>0</v>
      </c>
      <c r="F13" s="118">
        <f>'kuni 2025 detsember tegevuskava'!F19</f>
        <v>0</v>
      </c>
      <c r="G13" s="118">
        <f>'kuni 2025 detsember tegevuskava'!G19</f>
        <v>0</v>
      </c>
      <c r="H13" s="118">
        <f>'kuni 2025 detsember tegevuskava'!H19</f>
        <v>0</v>
      </c>
      <c r="I13" s="119">
        <f>'kuni 2025 detsember tegevuskava'!I19</f>
        <v>1756500</v>
      </c>
    </row>
    <row r="14" spans="1:12" x14ac:dyDescent="0.35">
      <c r="A14" s="52" t="s">
        <v>40</v>
      </c>
      <c r="B14" s="622" t="s">
        <v>41</v>
      </c>
      <c r="C14" s="623"/>
      <c r="D14" s="623"/>
      <c r="E14" s="623"/>
      <c r="F14" s="623"/>
      <c r="G14" s="623"/>
      <c r="H14" s="623"/>
      <c r="I14" s="663"/>
    </row>
    <row r="15" spans="1:12" ht="29" x14ac:dyDescent="0.35">
      <c r="A15" s="53" t="s">
        <v>29</v>
      </c>
      <c r="B15" s="115" t="s">
        <v>565</v>
      </c>
      <c r="C15" s="116" t="s">
        <v>566</v>
      </c>
      <c r="D15" s="116" t="s">
        <v>567</v>
      </c>
      <c r="E15" s="116" t="s">
        <v>568</v>
      </c>
      <c r="F15" s="116" t="s">
        <v>569</v>
      </c>
      <c r="G15" s="116" t="s">
        <v>570</v>
      </c>
      <c r="H15" s="116" t="s">
        <v>571</v>
      </c>
      <c r="I15" s="117" t="s">
        <v>572</v>
      </c>
    </row>
    <row r="16" spans="1:12" ht="15" thickBot="1" x14ac:dyDescent="0.4">
      <c r="A16" s="54" t="s">
        <v>38</v>
      </c>
      <c r="B16" s="118">
        <f>'kuni 2025 detsember tegevuskava'!B22</f>
        <v>0</v>
      </c>
      <c r="C16" s="118">
        <f>'kuni 2025 detsember tegevuskava'!C22</f>
        <v>0</v>
      </c>
      <c r="D16" s="118">
        <f>'kuni 2025 detsember tegevuskava'!D22</f>
        <v>4</v>
      </c>
      <c r="E16" s="118">
        <f>'kuni 2025 detsember tegevuskava'!E22</f>
        <v>5</v>
      </c>
      <c r="F16" s="118">
        <f>'kuni 2025 detsember tegevuskava'!F22</f>
        <v>6</v>
      </c>
      <c r="G16" s="118">
        <f>'kuni 2025 detsember tegevuskava'!G22</f>
        <v>0</v>
      </c>
      <c r="H16" s="118">
        <f>'kuni 2025 detsember tegevuskava'!H22</f>
        <v>0</v>
      </c>
      <c r="I16" s="119">
        <f>'kuni 2025 detsember tegevuskava'!I22</f>
        <v>20</v>
      </c>
    </row>
    <row r="17" spans="1:9" x14ac:dyDescent="0.35">
      <c r="A17" s="52" t="s">
        <v>40</v>
      </c>
      <c r="B17" s="622" t="s">
        <v>45</v>
      </c>
      <c r="C17" s="623"/>
      <c r="D17" s="623"/>
      <c r="E17" s="623"/>
      <c r="F17" s="623"/>
      <c r="G17" s="623"/>
      <c r="H17" s="623"/>
      <c r="I17" s="663"/>
    </row>
    <row r="18" spans="1:9" ht="29" x14ac:dyDescent="0.35">
      <c r="A18" s="53" t="s">
        <v>29</v>
      </c>
      <c r="B18" s="115" t="s">
        <v>565</v>
      </c>
      <c r="C18" s="116" t="s">
        <v>566</v>
      </c>
      <c r="D18" s="116" t="s">
        <v>567</v>
      </c>
      <c r="E18" s="116" t="s">
        <v>568</v>
      </c>
      <c r="F18" s="116" t="s">
        <v>569</v>
      </c>
      <c r="G18" s="116" t="s">
        <v>570</v>
      </c>
      <c r="H18" s="116" t="s">
        <v>571</v>
      </c>
      <c r="I18" s="117" t="s">
        <v>572</v>
      </c>
    </row>
    <row r="19" spans="1:9" x14ac:dyDescent="0.35">
      <c r="A19" s="414" t="s">
        <v>38</v>
      </c>
      <c r="B19" s="430">
        <f>'kuni 2025 detsember tegevuskava'!B25</f>
        <v>0</v>
      </c>
      <c r="C19" s="430">
        <f>'kuni 2025 detsember tegevuskava'!C25</f>
        <v>4</v>
      </c>
      <c r="D19" s="430">
        <f>'kuni 2025 detsember tegevuskava'!D25</f>
        <v>4</v>
      </c>
      <c r="E19" s="430">
        <f>'kuni 2025 detsember tegevuskava'!E25</f>
        <v>4</v>
      </c>
      <c r="F19" s="430">
        <f>'kuni 2025 detsember tegevuskava'!F25</f>
        <v>4</v>
      </c>
      <c r="G19" s="430">
        <f>'kuni 2025 detsember tegevuskava'!G25</f>
        <v>4</v>
      </c>
      <c r="H19" s="430">
        <f>'kuni 2025 detsember tegevuskava'!H25</f>
        <v>4</v>
      </c>
      <c r="I19" s="431">
        <f>'kuni 2025 detsember tegevuskava'!I25</f>
        <v>0</v>
      </c>
    </row>
    <row r="20" spans="1:9" ht="29" x14ac:dyDescent="0.35">
      <c r="A20" s="405" t="s">
        <v>49</v>
      </c>
      <c r="B20" s="634" t="s">
        <v>50</v>
      </c>
      <c r="C20" s="664"/>
      <c r="D20" s="664"/>
      <c r="E20" s="664"/>
      <c r="F20" s="664"/>
      <c r="G20" s="664"/>
      <c r="H20" s="664"/>
      <c r="I20" s="665"/>
    </row>
    <row r="21" spans="1:9" ht="29" x14ac:dyDescent="0.35">
      <c r="A21" s="406" t="s">
        <v>29</v>
      </c>
      <c r="B21" s="115" t="s">
        <v>565</v>
      </c>
      <c r="C21" s="116" t="s">
        <v>566</v>
      </c>
      <c r="D21" s="116" t="s">
        <v>567</v>
      </c>
      <c r="E21" s="116" t="s">
        <v>568</v>
      </c>
      <c r="F21" s="116" t="s">
        <v>569</v>
      </c>
      <c r="G21" s="116" t="s">
        <v>570</v>
      </c>
      <c r="H21" s="116" t="s">
        <v>571</v>
      </c>
      <c r="I21" s="407" t="s">
        <v>572</v>
      </c>
    </row>
    <row r="22" spans="1:9" x14ac:dyDescent="0.35">
      <c r="A22" s="408" t="s">
        <v>38</v>
      </c>
      <c r="B22" s="428" t="str">
        <f>'kuni 2025 detsember tegevuskava'!B28&amp;"%"</f>
        <v>69%</v>
      </c>
      <c r="C22" s="428" t="str">
        <f>'kuni 2025 detsember tegevuskava'!C28&amp;"%"</f>
        <v>69%</v>
      </c>
      <c r="D22" s="428" t="str">
        <f>'kuni 2025 detsember tegevuskava'!D28&amp;"%"</f>
        <v>73%</v>
      </c>
      <c r="E22" s="428" t="str">
        <f>'kuni 2025 detsember tegevuskava'!E28&amp;"%"</f>
        <v>76%</v>
      </c>
      <c r="F22" s="428" t="str">
        <f>'kuni 2025 detsember tegevuskava'!F28&amp;"%"</f>
        <v>79%</v>
      </c>
      <c r="G22" s="428" t="str">
        <f>'kuni 2025 detsember tegevuskava'!G28&amp;"%"</f>
        <v>83%</v>
      </c>
      <c r="H22" s="428" t="str">
        <f>'kuni 2025 detsember tegevuskava'!H28&amp;"%"</f>
        <v>87%</v>
      </c>
      <c r="I22" s="429" t="str">
        <f>'kuni 2025 detsember tegevuskava'!I28&amp;"%"</f>
        <v>90%</v>
      </c>
    </row>
    <row r="25" spans="1:9" x14ac:dyDescent="0.35">
      <c r="A25" s="55"/>
    </row>
    <row r="26" spans="1:9" x14ac:dyDescent="0.35">
      <c r="A26" s="55"/>
    </row>
  </sheetData>
  <sheetProtection algorithmName="SHA-512" hashValue="7PMpy2we1hKj233nycXaWfQH2gI4vN4wiPGNnhXDaeS8uk6dwPRE6UaqvllHntcvkF+CPrycYOpnl4JX0bDamg==" saltValue="88iUBg7i+hW0okCe7aXeRA=="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dimension ref="A2:I141"/>
  <sheetViews>
    <sheetView topLeftCell="A124" zoomScale="85" zoomScaleNormal="85" workbookViewId="0">
      <selection activeCell="G60" sqref="G60"/>
    </sheetView>
  </sheetViews>
  <sheetFormatPr defaultColWidth="9.08984375" defaultRowHeight="14.5" x14ac:dyDescent="0.35"/>
  <cols>
    <col min="1" max="1" width="9.08984375" style="1"/>
    <col min="2" max="2" width="41.453125" style="1" customWidth="1"/>
    <col min="3" max="5" width="18" style="1" customWidth="1"/>
    <col min="6" max="6" width="15.453125" style="1" customWidth="1"/>
    <col min="7" max="7" width="12.08984375" style="1" customWidth="1"/>
    <col min="8" max="8" width="12.90625" style="1" customWidth="1"/>
    <col min="9" max="9" width="11.90625" style="1" customWidth="1"/>
    <col min="10" max="10" width="11.453125" style="1" customWidth="1"/>
    <col min="11" max="11" width="13.08984375" style="1" customWidth="1"/>
    <col min="12" max="12" width="11.90625" style="1" customWidth="1"/>
    <col min="13" max="22" width="9.08984375" style="1"/>
    <col min="23" max="23" width="12.36328125" style="1" bestFit="1" customWidth="1"/>
    <col min="24" max="16384" width="9.08984375" style="1"/>
  </cols>
  <sheetData>
    <row r="2" spans="1:8" ht="18.5" x14ac:dyDescent="0.35">
      <c r="A2" s="120" t="s">
        <v>307</v>
      </c>
      <c r="B2" s="120"/>
    </row>
    <row r="4" spans="1:8" x14ac:dyDescent="0.35">
      <c r="B4" s="206" t="s">
        <v>573</v>
      </c>
      <c r="C4" s="666" t="s">
        <v>574</v>
      </c>
      <c r="D4" s="666"/>
      <c r="E4" s="666"/>
      <c r="F4" s="666"/>
    </row>
    <row r="5" spans="1:8" x14ac:dyDescent="0.35">
      <c r="B5" s="206"/>
      <c r="C5" s="205" t="s">
        <v>575</v>
      </c>
      <c r="D5" s="205" t="s">
        <v>576</v>
      </c>
      <c r="E5" s="205" t="s">
        <v>577</v>
      </c>
      <c r="F5" s="205" t="s">
        <v>578</v>
      </c>
    </row>
    <row r="6" spans="1:8" x14ac:dyDescent="0.35">
      <c r="B6" s="206" t="s">
        <v>579</v>
      </c>
      <c r="C6" s="207">
        <f>SUM(C7:C9)</f>
        <v>48370008</v>
      </c>
      <c r="D6" s="207">
        <f t="shared" ref="D6:E6" si="0">SUM(D7:D9)</f>
        <v>36610725</v>
      </c>
      <c r="E6" s="207">
        <f t="shared" si="0"/>
        <v>11759283</v>
      </c>
      <c r="F6" s="208">
        <f>SUM(D6/C6)</f>
        <v>0.75688895895985797</v>
      </c>
    </row>
    <row r="7" spans="1:8" x14ac:dyDescent="0.35">
      <c r="B7" s="177" t="s">
        <v>580</v>
      </c>
      <c r="C7" s="209">
        <v>29518955</v>
      </c>
      <c r="D7" s="209">
        <v>23814308</v>
      </c>
      <c r="E7" s="209">
        <v>5704647</v>
      </c>
      <c r="F7" s="210">
        <f>SUM(D7/C7)</f>
        <v>0.80674630927822477</v>
      </c>
      <c r="G7" s="121"/>
      <c r="H7" s="122"/>
    </row>
    <row r="8" spans="1:8" x14ac:dyDescent="0.35">
      <c r="B8" s="177" t="s">
        <v>581</v>
      </c>
      <c r="C8" s="209">
        <v>11585489</v>
      </c>
      <c r="D8" s="209">
        <v>6779339</v>
      </c>
      <c r="E8" s="209">
        <v>4806150</v>
      </c>
      <c r="F8" s="210">
        <f>SUM(D8/C8)</f>
        <v>0.5851577779755347</v>
      </c>
      <c r="G8" s="121"/>
    </row>
    <row r="9" spans="1:8" x14ac:dyDescent="0.35">
      <c r="B9" s="177" t="s">
        <v>582</v>
      </c>
      <c r="C9" s="209">
        <v>7265564</v>
      </c>
      <c r="D9" s="209">
        <v>6017078</v>
      </c>
      <c r="E9" s="209">
        <v>1248486</v>
      </c>
      <c r="F9" s="210">
        <f>SUM(D9/C9)</f>
        <v>0.82816392505798586</v>
      </c>
    </row>
    <row r="18" spans="2:6" x14ac:dyDescent="0.35">
      <c r="B18" s="668" t="s">
        <v>583</v>
      </c>
      <c r="C18" s="666" t="s">
        <v>574</v>
      </c>
      <c r="D18" s="666"/>
      <c r="E18" s="666"/>
      <c r="F18" s="666"/>
    </row>
    <row r="19" spans="2:6" x14ac:dyDescent="0.35">
      <c r="B19" s="668"/>
      <c r="C19" s="205" t="s">
        <v>575</v>
      </c>
      <c r="D19" s="205" t="s">
        <v>576</v>
      </c>
      <c r="E19" s="205" t="s">
        <v>577</v>
      </c>
      <c r="F19" s="205" t="s">
        <v>578</v>
      </c>
    </row>
    <row r="20" spans="2:6" x14ac:dyDescent="0.35">
      <c r="B20" s="206" t="s">
        <v>579</v>
      </c>
      <c r="C20" s="207">
        <f>SUM(C21:C24)</f>
        <v>48370008</v>
      </c>
      <c r="D20" s="207">
        <f t="shared" ref="D20:E20" si="1">SUM(D21:D24)</f>
        <v>36610725</v>
      </c>
      <c r="E20" s="207">
        <f t="shared" si="1"/>
        <v>11759283</v>
      </c>
      <c r="F20" s="208">
        <f>SUM(D20/C20)</f>
        <v>0.75688895895985797</v>
      </c>
    </row>
    <row r="21" spans="2:6" x14ac:dyDescent="0.35">
      <c r="B21" s="177" t="s">
        <v>584</v>
      </c>
      <c r="C21" s="209">
        <v>21811783</v>
      </c>
      <c r="D21" s="209">
        <v>14138453</v>
      </c>
      <c r="E21" s="209">
        <v>7673330</v>
      </c>
      <c r="F21" s="210">
        <f>SUM(D21/C21)</f>
        <v>0.64820253346551271</v>
      </c>
    </row>
    <row r="22" spans="2:6" x14ac:dyDescent="0.35">
      <c r="B22" s="177" t="s">
        <v>585</v>
      </c>
      <c r="C22" s="209">
        <v>14122519</v>
      </c>
      <c r="D22" s="209">
        <v>12216619</v>
      </c>
      <c r="E22" s="209">
        <v>1905900</v>
      </c>
      <c r="F22" s="210">
        <f>SUM(D22/C22)</f>
        <v>0.86504532229696418</v>
      </c>
    </row>
    <row r="23" spans="2:6" x14ac:dyDescent="0.35">
      <c r="B23" s="177" t="s">
        <v>586</v>
      </c>
      <c r="C23" s="209">
        <v>12435706</v>
      </c>
      <c r="D23" s="209">
        <v>10255653</v>
      </c>
      <c r="E23" s="209">
        <v>2180053</v>
      </c>
      <c r="F23" s="210">
        <f>SUM(D23/C23)</f>
        <v>0.82469407044521637</v>
      </c>
    </row>
    <row r="24" spans="2:6" x14ac:dyDescent="0.35">
      <c r="B24" s="177" t="s">
        <v>587</v>
      </c>
      <c r="C24" s="209"/>
      <c r="D24" s="209"/>
      <c r="E24" s="209"/>
      <c r="F24" s="210" t="e">
        <f>SUM(D24/C24)</f>
        <v>#DIV/0!</v>
      </c>
    </row>
    <row r="33" spans="1:3" ht="18.5" x14ac:dyDescent="0.35">
      <c r="A33" s="120" t="s">
        <v>588</v>
      </c>
      <c r="B33" s="120"/>
    </row>
    <row r="35" spans="1:3" x14ac:dyDescent="0.35">
      <c r="B35" s="211" t="s">
        <v>589</v>
      </c>
      <c r="C35" s="205">
        <v>2024</v>
      </c>
    </row>
    <row r="36" spans="1:3" x14ac:dyDescent="0.35">
      <c r="B36" s="211" t="s">
        <v>295</v>
      </c>
      <c r="C36" s="207">
        <f>SUM(C37:C39)</f>
        <v>48167694</v>
      </c>
    </row>
    <row r="37" spans="1:3" x14ac:dyDescent="0.35">
      <c r="B37" s="177" t="s">
        <v>580</v>
      </c>
      <c r="C37" s="209">
        <v>28053767</v>
      </c>
    </row>
    <row r="38" spans="1:3" x14ac:dyDescent="0.35">
      <c r="B38" s="177" t="s">
        <v>581</v>
      </c>
      <c r="C38" s="209">
        <v>9915235</v>
      </c>
    </row>
    <row r="39" spans="1:3" x14ac:dyDescent="0.35">
      <c r="B39" s="177" t="s">
        <v>582</v>
      </c>
      <c r="C39" s="209">
        <v>10198692</v>
      </c>
    </row>
    <row r="41" spans="1:3" x14ac:dyDescent="0.35">
      <c r="B41" s="211" t="s">
        <v>590</v>
      </c>
      <c r="C41" s="205">
        <v>2024</v>
      </c>
    </row>
    <row r="42" spans="1:3" x14ac:dyDescent="0.35">
      <c r="B42" s="211" t="s">
        <v>295</v>
      </c>
      <c r="C42" s="207">
        <f>SUM(C43:C46)</f>
        <v>48167702</v>
      </c>
    </row>
    <row r="43" spans="1:3" x14ac:dyDescent="0.35">
      <c r="B43" s="177" t="s">
        <v>584</v>
      </c>
      <c r="C43" s="209">
        <v>22103253</v>
      </c>
    </row>
    <row r="44" spans="1:3" x14ac:dyDescent="0.35">
      <c r="B44" s="177" t="s">
        <v>585</v>
      </c>
      <c r="C44" s="209">
        <v>12925937</v>
      </c>
    </row>
    <row r="45" spans="1:3" x14ac:dyDescent="0.35">
      <c r="B45" s="177" t="s">
        <v>586</v>
      </c>
      <c r="C45" s="209">
        <v>13138504</v>
      </c>
    </row>
    <row r="46" spans="1:3" x14ac:dyDescent="0.35">
      <c r="B46" s="177" t="s">
        <v>587</v>
      </c>
      <c r="C46" s="209">
        <v>8</v>
      </c>
    </row>
    <row r="49" spans="1:9" ht="18.5" x14ac:dyDescent="0.35">
      <c r="A49" s="120" t="s">
        <v>591</v>
      </c>
    </row>
    <row r="51" spans="1:9" x14ac:dyDescent="0.35">
      <c r="B51" s="135"/>
      <c r="C51" s="214"/>
      <c r="D51" s="214"/>
    </row>
    <row r="52" spans="1:9" x14ac:dyDescent="0.35">
      <c r="B52" s="548" t="s">
        <v>592</v>
      </c>
      <c r="C52" s="549">
        <v>44197</v>
      </c>
      <c r="D52" s="549">
        <v>44562</v>
      </c>
      <c r="E52" s="549">
        <v>44927</v>
      </c>
      <c r="F52" s="549">
        <v>45292</v>
      </c>
      <c r="G52" s="550" t="s">
        <v>593</v>
      </c>
      <c r="H52" s="550" t="s">
        <v>594</v>
      </c>
      <c r="I52" s="550" t="s">
        <v>595</v>
      </c>
    </row>
    <row r="53" spans="1:9" x14ac:dyDescent="0.35">
      <c r="B53" s="551" t="s">
        <v>596</v>
      </c>
      <c r="C53" s="552">
        <v>124</v>
      </c>
      <c r="D53" s="552">
        <v>157</v>
      </c>
      <c r="E53" s="552">
        <v>182</v>
      </c>
      <c r="F53" s="552">
        <v>204</v>
      </c>
      <c r="G53" s="552">
        <v>220</v>
      </c>
      <c r="H53" s="552">
        <v>225</v>
      </c>
      <c r="I53" s="552">
        <v>230</v>
      </c>
    </row>
    <row r="54" spans="1:9" x14ac:dyDescent="0.35">
      <c r="B54" s="553" t="s">
        <v>597</v>
      </c>
      <c r="C54" s="554">
        <v>0</v>
      </c>
      <c r="D54" s="555">
        <f t="shared" ref="D54:I54" si="2">SUM(((D53/C53)*100)-100)</f>
        <v>26.612903225806448</v>
      </c>
      <c r="E54" s="555">
        <f t="shared" si="2"/>
        <v>15.923566878980893</v>
      </c>
      <c r="F54" s="555">
        <f t="shared" si="2"/>
        <v>12.087912087912088</v>
      </c>
      <c r="G54" s="555">
        <f t="shared" si="2"/>
        <v>7.8431372549019613</v>
      </c>
      <c r="H54" s="555">
        <f t="shared" si="2"/>
        <v>2.2727272727272663</v>
      </c>
      <c r="I54" s="555">
        <f t="shared" si="2"/>
        <v>2.2222222222222143</v>
      </c>
    </row>
    <row r="55" spans="1:9" x14ac:dyDescent="0.35">
      <c r="B55" s="669" t="s">
        <v>598</v>
      </c>
      <c r="C55" s="669"/>
      <c r="D55" s="669"/>
      <c r="E55" s="669"/>
      <c r="F55" s="669"/>
      <c r="G55" s="669"/>
      <c r="H55" s="669"/>
      <c r="I55" s="670"/>
    </row>
    <row r="56" spans="1:9" x14ac:dyDescent="0.35">
      <c r="B56" s="215"/>
      <c r="C56" s="215"/>
      <c r="D56" s="215"/>
      <c r="E56" s="215"/>
      <c r="F56" s="215"/>
      <c r="G56" s="215"/>
      <c r="H56" s="215"/>
    </row>
    <row r="57" spans="1:9" x14ac:dyDescent="0.35">
      <c r="B57" s="215"/>
      <c r="C57" s="215"/>
      <c r="D57" s="215"/>
      <c r="E57" s="215"/>
      <c r="F57" s="215"/>
      <c r="G57" s="215"/>
      <c r="H57" s="215"/>
    </row>
    <row r="58" spans="1:9" x14ac:dyDescent="0.35">
      <c r="B58" s="215"/>
      <c r="C58" s="215"/>
      <c r="D58" s="215"/>
      <c r="E58" s="219"/>
      <c r="F58" s="219"/>
      <c r="G58" s="219"/>
      <c r="H58" s="219"/>
      <c r="I58" s="219"/>
    </row>
    <row r="59" spans="1:9" x14ac:dyDescent="0.35">
      <c r="B59" s="215"/>
      <c r="C59" s="215"/>
      <c r="D59" s="215"/>
      <c r="E59" s="215"/>
      <c r="F59" s="215"/>
      <c r="G59" s="215"/>
      <c r="H59" s="215"/>
    </row>
    <row r="60" spans="1:9" x14ac:dyDescent="0.35">
      <c r="B60" s="215"/>
      <c r="C60" s="215"/>
      <c r="D60" s="215"/>
      <c r="E60" s="215"/>
      <c r="F60" s="215"/>
      <c r="G60" s="215"/>
      <c r="H60" s="215"/>
    </row>
    <row r="61" spans="1:9" x14ac:dyDescent="0.35">
      <c r="B61" s="215"/>
      <c r="C61" s="215"/>
      <c r="D61" s="215"/>
      <c r="E61" s="215"/>
      <c r="F61" s="215"/>
      <c r="G61" s="215"/>
      <c r="H61" s="215"/>
    </row>
    <row r="62" spans="1:9" x14ac:dyDescent="0.35">
      <c r="B62" s="215"/>
      <c r="C62" s="215"/>
      <c r="D62" s="215"/>
      <c r="E62" s="215"/>
      <c r="F62" s="215"/>
      <c r="G62" s="215"/>
      <c r="H62" s="215"/>
    </row>
    <row r="63" spans="1:9" x14ac:dyDescent="0.35">
      <c r="B63" s="215"/>
      <c r="C63" s="215"/>
      <c r="D63" s="215"/>
      <c r="E63" s="215"/>
      <c r="F63" s="215"/>
      <c r="G63" s="215"/>
      <c r="H63" s="215"/>
    </row>
    <row r="64" spans="1:9" x14ac:dyDescent="0.35">
      <c r="B64" s="215"/>
      <c r="C64" s="215"/>
      <c r="D64" s="215"/>
      <c r="E64" s="215"/>
      <c r="F64" s="215"/>
      <c r="G64" s="215"/>
      <c r="H64" s="215"/>
    </row>
    <row r="65" spans="2:8" x14ac:dyDescent="0.35">
      <c r="B65" s="215"/>
      <c r="C65" s="215"/>
      <c r="D65" s="215"/>
      <c r="E65" s="215"/>
      <c r="F65" s="215"/>
      <c r="G65" s="215"/>
      <c r="H65" s="215"/>
    </row>
    <row r="66" spans="2:8" x14ac:dyDescent="0.35">
      <c r="B66" s="215"/>
      <c r="C66" s="215"/>
      <c r="D66" s="215"/>
      <c r="E66" s="215"/>
      <c r="F66" s="215"/>
      <c r="G66" s="215"/>
      <c r="H66" s="215"/>
    </row>
    <row r="67" spans="2:8" x14ac:dyDescent="0.35">
      <c r="B67" s="215"/>
      <c r="C67" s="215"/>
      <c r="D67" s="215"/>
      <c r="E67" s="215"/>
      <c r="F67" s="215"/>
      <c r="G67" s="215"/>
      <c r="H67" s="215"/>
    </row>
    <row r="68" spans="2:8" x14ac:dyDescent="0.35">
      <c r="B68" s="215"/>
      <c r="C68" s="215"/>
      <c r="D68" s="215"/>
      <c r="E68" s="215"/>
      <c r="F68" s="215"/>
      <c r="G68" s="215"/>
      <c r="H68" s="215"/>
    </row>
    <row r="69" spans="2:8" x14ac:dyDescent="0.35">
      <c r="B69" s="135"/>
      <c r="C69" s="666" t="s">
        <v>599</v>
      </c>
      <c r="D69" s="667"/>
      <c r="E69" s="667"/>
      <c r="F69" s="666" t="s">
        <v>600</v>
      </c>
      <c r="G69" s="667"/>
      <c r="H69" s="667"/>
    </row>
    <row r="70" spans="2:8" x14ac:dyDescent="0.35">
      <c r="B70" s="211" t="s">
        <v>601</v>
      </c>
      <c r="C70" s="216" t="s">
        <v>602</v>
      </c>
      <c r="D70" s="217" t="s">
        <v>603</v>
      </c>
      <c r="E70" s="217" t="s">
        <v>295</v>
      </c>
      <c r="F70" s="216" t="s">
        <v>602</v>
      </c>
      <c r="G70" s="217" t="s">
        <v>603</v>
      </c>
      <c r="H70" s="217" t="s">
        <v>295</v>
      </c>
    </row>
    <row r="71" spans="2:8" x14ac:dyDescent="0.35">
      <c r="B71" s="212" t="s">
        <v>295</v>
      </c>
      <c r="C71" s="213">
        <f t="shared" ref="C71:H71" si="3">SUM(C72:C86)</f>
        <v>183</v>
      </c>
      <c r="D71" s="213">
        <f t="shared" si="3"/>
        <v>26</v>
      </c>
      <c r="E71" s="213">
        <f t="shared" si="3"/>
        <v>207</v>
      </c>
      <c r="F71" s="213">
        <f t="shared" si="3"/>
        <v>204</v>
      </c>
      <c r="G71" s="213">
        <f t="shared" si="3"/>
        <v>17</v>
      </c>
      <c r="H71" s="213">
        <f t="shared" si="3"/>
        <v>221</v>
      </c>
    </row>
    <row r="72" spans="2:8" x14ac:dyDescent="0.35">
      <c r="B72" s="178" t="s">
        <v>604</v>
      </c>
      <c r="C72" s="209">
        <v>4</v>
      </c>
      <c r="D72" s="209"/>
      <c r="E72" s="197">
        <v>4</v>
      </c>
      <c r="F72" s="209">
        <v>4</v>
      </c>
      <c r="G72" s="209">
        <v>1</v>
      </c>
      <c r="H72" s="197">
        <v>5</v>
      </c>
    </row>
    <row r="73" spans="2:8" x14ac:dyDescent="0.35">
      <c r="B73" s="178" t="s">
        <v>605</v>
      </c>
      <c r="C73" s="209">
        <v>4</v>
      </c>
      <c r="D73" s="209">
        <v>2</v>
      </c>
      <c r="E73" s="197">
        <v>6</v>
      </c>
      <c r="F73" s="209">
        <v>7</v>
      </c>
      <c r="G73" s="209">
        <v>1</v>
      </c>
      <c r="H73" s="197">
        <v>8</v>
      </c>
    </row>
    <row r="74" spans="2:8" x14ac:dyDescent="0.35">
      <c r="B74" s="178" t="s">
        <v>606</v>
      </c>
      <c r="C74" s="209">
        <v>8</v>
      </c>
      <c r="D74" s="209"/>
      <c r="E74" s="197">
        <v>8</v>
      </c>
      <c r="F74" s="209">
        <v>7</v>
      </c>
      <c r="G74" s="209">
        <v>1</v>
      </c>
      <c r="H74" s="197">
        <v>8</v>
      </c>
    </row>
    <row r="75" spans="2:8" x14ac:dyDescent="0.35">
      <c r="B75" s="178" t="s">
        <v>607</v>
      </c>
      <c r="C75" s="209">
        <v>2</v>
      </c>
      <c r="D75" s="209"/>
      <c r="E75" s="197"/>
      <c r="F75" s="209"/>
      <c r="G75" s="209"/>
      <c r="H75" s="197"/>
    </row>
    <row r="76" spans="2:8" x14ac:dyDescent="0.35">
      <c r="B76" s="178" t="s">
        <v>608</v>
      </c>
      <c r="C76" s="209">
        <v>15</v>
      </c>
      <c r="D76" s="209"/>
      <c r="E76" s="197">
        <v>15</v>
      </c>
      <c r="F76" s="209">
        <v>21</v>
      </c>
      <c r="G76" s="209">
        <v>1</v>
      </c>
      <c r="H76" s="197">
        <v>22</v>
      </c>
    </row>
    <row r="77" spans="2:8" x14ac:dyDescent="0.35">
      <c r="B77" s="178" t="s">
        <v>609</v>
      </c>
      <c r="C77" s="209"/>
      <c r="D77" s="209"/>
      <c r="E77" s="197">
        <v>0</v>
      </c>
      <c r="F77" s="209">
        <v>1</v>
      </c>
      <c r="G77" s="209"/>
      <c r="H77" s="197">
        <v>1</v>
      </c>
    </row>
    <row r="78" spans="2:8" x14ac:dyDescent="0.35">
      <c r="B78" s="178" t="s">
        <v>610</v>
      </c>
      <c r="C78" s="209">
        <v>31</v>
      </c>
      <c r="D78" s="209">
        <v>4</v>
      </c>
      <c r="E78" s="197">
        <v>35</v>
      </c>
      <c r="F78" s="209">
        <v>28</v>
      </c>
      <c r="G78" s="209">
        <v>4</v>
      </c>
      <c r="H78" s="197">
        <v>32</v>
      </c>
    </row>
    <row r="79" spans="2:8" x14ac:dyDescent="0.35">
      <c r="B79" s="178" t="s">
        <v>611</v>
      </c>
      <c r="C79" s="209">
        <v>45</v>
      </c>
      <c r="D79" s="209">
        <v>9</v>
      </c>
      <c r="E79" s="197">
        <v>54</v>
      </c>
      <c r="F79" s="209">
        <v>51</v>
      </c>
      <c r="G79" s="209">
        <v>3</v>
      </c>
      <c r="H79" s="197">
        <v>54</v>
      </c>
    </row>
    <row r="80" spans="2:8" x14ac:dyDescent="0.35">
      <c r="B80" s="178" t="s">
        <v>612</v>
      </c>
      <c r="C80" s="209">
        <v>13</v>
      </c>
      <c r="D80" s="209">
        <v>4</v>
      </c>
      <c r="E80" s="197">
        <v>17</v>
      </c>
      <c r="F80" s="209">
        <v>20</v>
      </c>
      <c r="G80" s="209"/>
      <c r="H80" s="197">
        <v>20</v>
      </c>
    </row>
    <row r="81" spans="2:8" x14ac:dyDescent="0.35">
      <c r="B81" s="178" t="s">
        <v>613</v>
      </c>
      <c r="C81" s="209">
        <v>11</v>
      </c>
      <c r="D81" s="209">
        <v>3</v>
      </c>
      <c r="E81" s="197">
        <v>14</v>
      </c>
      <c r="F81" s="209">
        <v>10</v>
      </c>
      <c r="G81" s="209">
        <v>3</v>
      </c>
      <c r="H81" s="197">
        <v>13</v>
      </c>
    </row>
    <row r="82" spans="2:8" x14ac:dyDescent="0.35">
      <c r="B82" s="178" t="s">
        <v>614</v>
      </c>
      <c r="C82" s="209">
        <v>4</v>
      </c>
      <c r="D82" s="209"/>
      <c r="E82" s="197">
        <v>4</v>
      </c>
      <c r="F82" s="209">
        <v>4</v>
      </c>
      <c r="G82" s="209"/>
      <c r="H82" s="197">
        <v>4</v>
      </c>
    </row>
    <row r="83" spans="2:8" x14ac:dyDescent="0.35">
      <c r="B83" s="178" t="s">
        <v>615</v>
      </c>
      <c r="C83" s="209">
        <v>30</v>
      </c>
      <c r="D83" s="209">
        <v>3</v>
      </c>
      <c r="E83" s="197">
        <v>33</v>
      </c>
      <c r="F83" s="209">
        <v>34</v>
      </c>
      <c r="G83" s="209"/>
      <c r="H83" s="197">
        <v>34</v>
      </c>
    </row>
    <row r="84" spans="2:8" x14ac:dyDescent="0.35">
      <c r="B84" s="178" t="s">
        <v>616</v>
      </c>
      <c r="C84" s="209">
        <v>11</v>
      </c>
      <c r="D84" s="209">
        <v>1</v>
      </c>
      <c r="E84" s="197">
        <v>12</v>
      </c>
      <c r="F84" s="209">
        <v>12</v>
      </c>
      <c r="G84" s="209">
        <v>3</v>
      </c>
      <c r="H84" s="197">
        <v>15</v>
      </c>
    </row>
    <row r="85" spans="2:8" x14ac:dyDescent="0.35">
      <c r="B85" s="178" t="s">
        <v>617</v>
      </c>
      <c r="C85" s="209">
        <v>5</v>
      </c>
      <c r="D85" s="209"/>
      <c r="E85" s="197">
        <v>5</v>
      </c>
      <c r="F85" s="209">
        <v>5</v>
      </c>
      <c r="G85" s="209"/>
      <c r="H85" s="197">
        <v>5</v>
      </c>
    </row>
    <row r="86" spans="2:8" x14ac:dyDescent="0.35">
      <c r="B86" s="178" t="s">
        <v>618</v>
      </c>
      <c r="C86" s="209"/>
      <c r="D86" s="209"/>
      <c r="E86" s="197">
        <f t="shared" ref="E86" si="4">SUM(C86:D86)</f>
        <v>0</v>
      </c>
      <c r="F86" s="198"/>
      <c r="G86" s="198"/>
      <c r="H86" s="197">
        <f t="shared" ref="H86" si="5">SUM(F86:G86)</f>
        <v>0</v>
      </c>
    </row>
    <row r="87" spans="2:8" x14ac:dyDescent="0.35">
      <c r="B87" s="218" t="s">
        <v>619</v>
      </c>
    </row>
    <row r="88" spans="2:8" x14ac:dyDescent="0.35">
      <c r="E88" s="121">
        <f>D71/E71</f>
        <v>0.12560386473429952</v>
      </c>
      <c r="F88" s="121"/>
      <c r="G88" s="121"/>
      <c r="H88" s="121">
        <f>G71/H71</f>
        <v>7.6923076923076927E-2</v>
      </c>
    </row>
    <row r="90" spans="2:8" x14ac:dyDescent="0.35">
      <c r="B90" s="188" t="s">
        <v>620</v>
      </c>
      <c r="C90" s="1" t="s">
        <v>621</v>
      </c>
    </row>
    <row r="91" spans="2:8" x14ac:dyDescent="0.35">
      <c r="B91" s="188" t="s">
        <v>622</v>
      </c>
      <c r="C91" s="1" t="s">
        <v>623</v>
      </c>
    </row>
    <row r="92" spans="2:8" x14ac:dyDescent="0.35">
      <c r="B92" s="188" t="s">
        <v>624</v>
      </c>
      <c r="C92" s="1" t="s">
        <v>625</v>
      </c>
    </row>
    <row r="93" spans="2:8" x14ac:dyDescent="0.35">
      <c r="B93" s="188" t="s">
        <v>626</v>
      </c>
      <c r="C93" s="1" t="s">
        <v>627</v>
      </c>
    </row>
    <row r="94" spans="2:8" x14ac:dyDescent="0.35">
      <c r="B94" s="188" t="s">
        <v>628</v>
      </c>
      <c r="C94" s="1" t="s">
        <v>629</v>
      </c>
    </row>
    <row r="95" spans="2:8" x14ac:dyDescent="0.35">
      <c r="B95" s="188" t="s">
        <v>630</v>
      </c>
      <c r="C95" s="1" t="s">
        <v>631</v>
      </c>
    </row>
    <row r="96" spans="2:8" x14ac:dyDescent="0.35">
      <c r="B96" s="188" t="s">
        <v>632</v>
      </c>
      <c r="C96" s="1" t="s">
        <v>633</v>
      </c>
    </row>
    <row r="97" spans="2:3" x14ac:dyDescent="0.35">
      <c r="B97" s="188" t="s">
        <v>634</v>
      </c>
      <c r="C97" s="1" t="s">
        <v>635</v>
      </c>
    </row>
    <row r="98" spans="2:3" x14ac:dyDescent="0.35">
      <c r="B98" s="188" t="s">
        <v>636</v>
      </c>
      <c r="C98" s="1" t="s">
        <v>637</v>
      </c>
    </row>
    <row r="99" spans="2:3" x14ac:dyDescent="0.35">
      <c r="B99" s="188" t="s">
        <v>638</v>
      </c>
      <c r="C99" s="1" t="s">
        <v>639</v>
      </c>
    </row>
    <row r="100" spans="2:3" x14ac:dyDescent="0.35">
      <c r="B100" s="188" t="s">
        <v>640</v>
      </c>
      <c r="C100" s="1" t="s">
        <v>641</v>
      </c>
    </row>
    <row r="101" spans="2:3" x14ac:dyDescent="0.35">
      <c r="C101" s="1" t="s">
        <v>642</v>
      </c>
    </row>
    <row r="102" spans="2:3" x14ac:dyDescent="0.35">
      <c r="C102" s="1" t="s">
        <v>643</v>
      </c>
    </row>
    <row r="103" spans="2:3" x14ac:dyDescent="0.35">
      <c r="C103" s="1" t="s">
        <v>644</v>
      </c>
    </row>
    <row r="104" spans="2:3" x14ac:dyDescent="0.35">
      <c r="C104" s="1" t="s">
        <v>645</v>
      </c>
    </row>
    <row r="105" spans="2:3" x14ac:dyDescent="0.35">
      <c r="C105" s="1" t="s">
        <v>646</v>
      </c>
    </row>
    <row r="106" spans="2:3" x14ac:dyDescent="0.35">
      <c r="C106" s="1" t="s">
        <v>647</v>
      </c>
    </row>
    <row r="107" spans="2:3" x14ac:dyDescent="0.35">
      <c r="C107" s="1" t="s">
        <v>648</v>
      </c>
    </row>
    <row r="108" spans="2:3" x14ac:dyDescent="0.35">
      <c r="C108" s="1" t="s">
        <v>649</v>
      </c>
    </row>
    <row r="109" spans="2:3" x14ac:dyDescent="0.35">
      <c r="C109" s="1" t="s">
        <v>650</v>
      </c>
    </row>
    <row r="110" spans="2:3" x14ac:dyDescent="0.35">
      <c r="C110" s="1" t="s">
        <v>651</v>
      </c>
    </row>
    <row r="111" spans="2:3" x14ac:dyDescent="0.35">
      <c r="C111" s="1" t="s">
        <v>652</v>
      </c>
    </row>
    <row r="112" spans="2:3" x14ac:dyDescent="0.35">
      <c r="C112" s="1" t="s">
        <v>653</v>
      </c>
    </row>
    <row r="113" spans="2:8" x14ac:dyDescent="0.35">
      <c r="C113" s="1" t="s">
        <v>654</v>
      </c>
    </row>
    <row r="114" spans="2:8" x14ac:dyDescent="0.35">
      <c r="C114" s="1" t="s">
        <v>655</v>
      </c>
    </row>
    <row r="118" spans="2:8" x14ac:dyDescent="0.35">
      <c r="B118" s="562" t="s">
        <v>656</v>
      </c>
      <c r="C118" s="562" t="s">
        <v>295</v>
      </c>
      <c r="D118" s="562">
        <v>2023</v>
      </c>
      <c r="E118" s="562">
        <v>2024</v>
      </c>
      <c r="F118" s="562">
        <v>2025</v>
      </c>
      <c r="G118" s="562">
        <v>2026</v>
      </c>
      <c r="H118" s="562">
        <v>2027</v>
      </c>
    </row>
    <row r="119" spans="2:8" ht="15.5" x14ac:dyDescent="0.35">
      <c r="B119" s="563" t="s">
        <v>101</v>
      </c>
      <c r="C119" s="566">
        <v>161779</v>
      </c>
      <c r="D119" s="567">
        <v>0</v>
      </c>
      <c r="E119" s="567">
        <v>161779</v>
      </c>
      <c r="F119" s="567">
        <v>0</v>
      </c>
      <c r="G119" s="567">
        <v>0</v>
      </c>
      <c r="H119" s="567">
        <v>0</v>
      </c>
    </row>
    <row r="120" spans="2:8" ht="15.5" x14ac:dyDescent="0.35">
      <c r="B120" s="564" t="s">
        <v>107</v>
      </c>
      <c r="C120" s="566">
        <v>689127</v>
      </c>
      <c r="D120" s="567">
        <v>0</v>
      </c>
      <c r="E120" s="567">
        <v>689127</v>
      </c>
      <c r="F120" s="567">
        <v>0</v>
      </c>
      <c r="G120" s="567">
        <v>0</v>
      </c>
      <c r="H120" s="567">
        <v>0</v>
      </c>
    </row>
    <row r="121" spans="2:8" ht="15.5" x14ac:dyDescent="0.35">
      <c r="B121" s="564" t="s">
        <v>114</v>
      </c>
      <c r="C121" s="566">
        <v>479149</v>
      </c>
      <c r="D121" s="567">
        <v>0</v>
      </c>
      <c r="E121" s="567">
        <v>374383</v>
      </c>
      <c r="F121" s="567">
        <v>70766</v>
      </c>
      <c r="G121" s="567">
        <v>34000</v>
      </c>
      <c r="H121" s="567">
        <v>0</v>
      </c>
    </row>
    <row r="122" spans="2:8" ht="15.5" x14ac:dyDescent="0.35">
      <c r="B122" s="564" t="s">
        <v>123</v>
      </c>
      <c r="C122" s="566">
        <v>176364</v>
      </c>
      <c r="D122" s="567">
        <v>9323</v>
      </c>
      <c r="E122" s="567">
        <v>47060</v>
      </c>
      <c r="F122" s="567">
        <v>38059</v>
      </c>
      <c r="G122" s="567">
        <v>39962</v>
      </c>
      <c r="H122" s="567">
        <v>41960</v>
      </c>
    </row>
    <row r="123" spans="2:8" ht="33" customHeight="1" x14ac:dyDescent="0.35">
      <c r="B123" s="564" t="s">
        <v>131</v>
      </c>
      <c r="C123" s="566">
        <v>240000</v>
      </c>
      <c r="D123" s="567">
        <v>0</v>
      </c>
      <c r="E123" s="567">
        <v>90000</v>
      </c>
      <c r="F123" s="567">
        <v>50000</v>
      </c>
      <c r="G123" s="567">
        <v>50000</v>
      </c>
      <c r="H123" s="567">
        <v>50000</v>
      </c>
    </row>
    <row r="124" spans="2:8" ht="33" customHeight="1" x14ac:dyDescent="0.35">
      <c r="B124" s="562" t="s">
        <v>295</v>
      </c>
      <c r="C124" s="568">
        <f>SUM(C119:C123)</f>
        <v>1746419</v>
      </c>
      <c r="D124" s="568">
        <f t="shared" ref="D124:H124" si="6">SUM(D119:D123)</f>
        <v>9323</v>
      </c>
      <c r="E124" s="568">
        <f t="shared" si="6"/>
        <v>1362349</v>
      </c>
      <c r="F124" s="568">
        <f t="shared" si="6"/>
        <v>158825</v>
      </c>
      <c r="G124" s="568">
        <f t="shared" si="6"/>
        <v>123962</v>
      </c>
      <c r="H124" s="568">
        <f t="shared" si="6"/>
        <v>91960</v>
      </c>
    </row>
    <row r="125" spans="2:8" ht="33" customHeight="1" x14ac:dyDescent="0.35"/>
    <row r="126" spans="2:8" ht="33" customHeight="1" x14ac:dyDescent="0.35">
      <c r="B126" s="562" t="s">
        <v>656</v>
      </c>
      <c r="C126" s="556" t="s">
        <v>295</v>
      </c>
      <c r="D126" s="556">
        <v>2023</v>
      </c>
      <c r="E126" s="556">
        <v>2024</v>
      </c>
      <c r="F126" s="556">
        <v>2025</v>
      </c>
      <c r="G126" s="556">
        <v>2026</v>
      </c>
      <c r="H126" s="556">
        <v>2027</v>
      </c>
    </row>
    <row r="127" spans="2:8" ht="29" x14ac:dyDescent="0.35">
      <c r="B127" s="563" t="s">
        <v>147</v>
      </c>
      <c r="C127" s="557">
        <v>1332773</v>
      </c>
      <c r="D127" s="558">
        <v>0</v>
      </c>
      <c r="E127" s="558">
        <f>151319+260647</f>
        <v>411966</v>
      </c>
      <c r="F127" s="558">
        <v>591733</v>
      </c>
      <c r="G127" s="558">
        <v>490393</v>
      </c>
      <c r="H127" s="558">
        <v>383199</v>
      </c>
    </row>
    <row r="128" spans="2:8" ht="15.5" x14ac:dyDescent="0.35">
      <c r="B128" s="563" t="s">
        <v>164</v>
      </c>
      <c r="C128" s="557">
        <v>898538</v>
      </c>
      <c r="D128" s="558">
        <v>0</v>
      </c>
      <c r="E128" s="558">
        <v>480501</v>
      </c>
      <c r="F128" s="558">
        <v>371269</v>
      </c>
      <c r="G128" s="558">
        <v>33798</v>
      </c>
      <c r="H128" s="558">
        <v>12970</v>
      </c>
    </row>
    <row r="129" spans="2:8" ht="29.25" customHeight="1" x14ac:dyDescent="0.35">
      <c r="B129" s="563" t="s">
        <v>170</v>
      </c>
      <c r="C129" s="557">
        <v>1735554</v>
      </c>
      <c r="D129" s="558">
        <v>0</v>
      </c>
      <c r="E129" s="558">
        <v>795479</v>
      </c>
      <c r="F129" s="558">
        <v>534780</v>
      </c>
      <c r="G129" s="558">
        <v>405295</v>
      </c>
      <c r="H129" s="558">
        <v>0</v>
      </c>
    </row>
    <row r="130" spans="2:8" ht="29" x14ac:dyDescent="0.35">
      <c r="B130" s="563" t="s">
        <v>442</v>
      </c>
      <c r="C130" s="557">
        <v>844973</v>
      </c>
      <c r="D130" s="558">
        <v>0</v>
      </c>
      <c r="E130" s="558">
        <v>233154</v>
      </c>
      <c r="F130" s="558">
        <v>260805</v>
      </c>
      <c r="G130" s="558">
        <v>267030</v>
      </c>
      <c r="H130" s="558">
        <v>83984</v>
      </c>
    </row>
    <row r="131" spans="2:8" ht="21.75" customHeight="1" x14ac:dyDescent="0.35">
      <c r="B131" s="563" t="s">
        <v>188</v>
      </c>
      <c r="C131" s="557">
        <v>552573</v>
      </c>
      <c r="D131" s="558"/>
      <c r="E131" s="558">
        <f>73416+340894</f>
        <v>414310</v>
      </c>
      <c r="F131" s="558">
        <v>124733</v>
      </c>
      <c r="G131" s="558">
        <v>10240</v>
      </c>
      <c r="H131" s="558">
        <v>3290</v>
      </c>
    </row>
    <row r="132" spans="2:8" ht="33.75" customHeight="1" x14ac:dyDescent="0.35">
      <c r="B132" s="563" t="s">
        <v>193</v>
      </c>
      <c r="C132" s="557">
        <v>624691</v>
      </c>
      <c r="D132" s="558">
        <v>0</v>
      </c>
      <c r="E132" s="558">
        <v>473217</v>
      </c>
      <c r="F132" s="558">
        <v>76374</v>
      </c>
      <c r="G132" s="558">
        <v>37250</v>
      </c>
      <c r="H132" s="558">
        <v>37850</v>
      </c>
    </row>
    <row r="133" spans="2:8" ht="29" x14ac:dyDescent="0.35">
      <c r="B133" s="563" t="s">
        <v>480</v>
      </c>
      <c r="C133" s="557">
        <v>1411500</v>
      </c>
      <c r="D133" s="558">
        <v>0</v>
      </c>
      <c r="E133" s="558">
        <v>600000</v>
      </c>
      <c r="F133" s="558">
        <v>300000</v>
      </c>
      <c r="G133" s="558">
        <v>511500</v>
      </c>
      <c r="H133" s="558">
        <v>0</v>
      </c>
    </row>
    <row r="134" spans="2:8" ht="42" customHeight="1" x14ac:dyDescent="0.35">
      <c r="B134" s="563" t="s">
        <v>210</v>
      </c>
      <c r="C134" s="557">
        <v>634424</v>
      </c>
      <c r="D134" s="558">
        <v>0</v>
      </c>
      <c r="E134" s="558">
        <v>172392</v>
      </c>
      <c r="F134" s="558">
        <v>208012</v>
      </c>
      <c r="G134" s="558">
        <v>123912</v>
      </c>
      <c r="H134" s="558">
        <v>130108</v>
      </c>
    </row>
    <row r="135" spans="2:8" ht="15.5" x14ac:dyDescent="0.35">
      <c r="B135" s="563" t="s">
        <v>123</v>
      </c>
      <c r="C135" s="557">
        <v>176364</v>
      </c>
      <c r="D135" s="558">
        <v>9323</v>
      </c>
      <c r="E135" s="558">
        <v>47060</v>
      </c>
      <c r="F135" s="558">
        <v>38059</v>
      </c>
      <c r="G135" s="558">
        <v>39962</v>
      </c>
      <c r="H135" s="558">
        <v>41960</v>
      </c>
    </row>
    <row r="136" spans="2:8" ht="29.25" customHeight="1" x14ac:dyDescent="0.35">
      <c r="B136" s="563" t="s">
        <v>212</v>
      </c>
      <c r="C136" s="557">
        <v>240000</v>
      </c>
      <c r="D136" s="558">
        <v>0</v>
      </c>
      <c r="E136" s="558">
        <v>90000</v>
      </c>
      <c r="F136" s="558">
        <v>50000</v>
      </c>
      <c r="G136" s="558">
        <v>50000</v>
      </c>
      <c r="H136" s="558">
        <v>50000</v>
      </c>
    </row>
    <row r="137" spans="2:8" ht="29" x14ac:dyDescent="0.35">
      <c r="B137" s="563" t="s">
        <v>657</v>
      </c>
      <c r="C137" s="557">
        <v>60000</v>
      </c>
      <c r="D137" s="558">
        <v>0</v>
      </c>
      <c r="E137" s="558">
        <v>60000</v>
      </c>
      <c r="F137" s="558">
        <v>0</v>
      </c>
      <c r="G137" s="558">
        <v>0</v>
      </c>
      <c r="H137" s="558">
        <v>0</v>
      </c>
    </row>
    <row r="138" spans="2:8" ht="28.5" customHeight="1" x14ac:dyDescent="0.35">
      <c r="B138" s="564" t="s">
        <v>220</v>
      </c>
      <c r="C138" s="557">
        <v>380713</v>
      </c>
      <c r="D138" s="558">
        <v>0</v>
      </c>
      <c r="E138" s="558">
        <v>142215</v>
      </c>
      <c r="F138" s="558">
        <v>238498</v>
      </c>
      <c r="G138" s="558">
        <v>0</v>
      </c>
      <c r="H138" s="558">
        <v>0</v>
      </c>
    </row>
    <row r="139" spans="2:8" ht="15.5" x14ac:dyDescent="0.35">
      <c r="B139" s="563" t="s">
        <v>225</v>
      </c>
      <c r="C139" s="557">
        <v>240567</v>
      </c>
      <c r="D139" s="558">
        <v>0</v>
      </c>
      <c r="E139" s="558">
        <v>86589</v>
      </c>
      <c r="F139" s="558">
        <v>153978</v>
      </c>
      <c r="G139" s="558">
        <v>0</v>
      </c>
      <c r="H139" s="558">
        <v>0</v>
      </c>
    </row>
    <row r="140" spans="2:8" ht="15.5" x14ac:dyDescent="0.35">
      <c r="B140" s="565" t="s">
        <v>234</v>
      </c>
      <c r="C140" s="559">
        <v>763804</v>
      </c>
      <c r="D140" s="560">
        <v>0</v>
      </c>
      <c r="E140" s="560">
        <v>209950</v>
      </c>
      <c r="F140" s="560">
        <v>553854</v>
      </c>
      <c r="G140" s="558">
        <v>0</v>
      </c>
      <c r="H140" s="558">
        <v>0</v>
      </c>
    </row>
    <row r="141" spans="2:8" x14ac:dyDescent="0.35">
      <c r="B141" s="562" t="s">
        <v>295</v>
      </c>
      <c r="C141" s="561">
        <f>SUM(C127:C140)</f>
        <v>9896474</v>
      </c>
      <c r="D141" s="561">
        <f t="shared" ref="D141:H141" si="7">SUM(D127:D140)</f>
        <v>9323</v>
      </c>
      <c r="E141" s="561">
        <f t="shared" si="7"/>
        <v>4216833</v>
      </c>
      <c r="F141" s="561">
        <f t="shared" si="7"/>
        <v>3502095</v>
      </c>
      <c r="G141" s="561">
        <f t="shared" si="7"/>
        <v>1969380</v>
      </c>
      <c r="H141" s="561">
        <f t="shared" si="7"/>
        <v>743361</v>
      </c>
    </row>
  </sheetData>
  <mergeCells count="6">
    <mergeCell ref="C69:E69"/>
    <mergeCell ref="F69:H69"/>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55B6-CE17-462D-ADE1-E22651B07E75}">
  <dimension ref="A1:U120"/>
  <sheetViews>
    <sheetView topLeftCell="A43" workbookViewId="0">
      <selection activeCell="U53" sqref="U53"/>
    </sheetView>
  </sheetViews>
  <sheetFormatPr defaultColWidth="8.90625" defaultRowHeight="14.5" x14ac:dyDescent="0.35"/>
  <cols>
    <col min="1" max="1" width="32.81640625" customWidth="1"/>
    <col min="2" max="2" width="28.81640625" bestFit="1" customWidth="1"/>
    <col min="3" max="3" width="15.453125" bestFit="1" customWidth="1"/>
    <col min="4" max="4" width="27.26953125" hidden="1" customWidth="1"/>
    <col min="5" max="9" width="4.81640625" hidden="1" customWidth="1"/>
    <col min="10" max="10" width="11.6328125" hidden="1" customWidth="1"/>
    <col min="11" max="11" width="23.81640625" hidden="1" customWidth="1"/>
    <col min="12" max="12" width="18.1796875" bestFit="1" customWidth="1"/>
    <col min="13" max="13" width="18.453125" hidden="1" customWidth="1"/>
    <col min="14" max="14" width="43.1796875" hidden="1" customWidth="1"/>
    <col min="15" max="15" width="23.6328125" hidden="1" customWidth="1"/>
    <col min="16" max="16" width="9.90625" customWidth="1"/>
    <col min="17" max="17" width="7.54296875" hidden="1" customWidth="1"/>
    <col min="18" max="18" width="19.81640625" customWidth="1"/>
    <col min="19" max="20" width="7.26953125" bestFit="1" customWidth="1"/>
  </cols>
  <sheetData>
    <row r="1" spans="1:20" x14ac:dyDescent="0.35">
      <c r="A1" s="397" t="s">
        <v>658</v>
      </c>
    </row>
    <row r="3" spans="1:20" s="399" customFormat="1" ht="87" x14ac:dyDescent="0.35">
      <c r="A3" s="398" t="s">
        <v>659</v>
      </c>
      <c r="B3" s="398" t="s">
        <v>660</v>
      </c>
      <c r="C3" s="398" t="s">
        <v>660</v>
      </c>
      <c r="D3" s="398" t="s">
        <v>661</v>
      </c>
      <c r="E3" s="678" t="s">
        <v>662</v>
      </c>
      <c r="F3" s="679"/>
      <c r="G3" s="679"/>
      <c r="H3" s="679"/>
      <c r="I3" s="680"/>
      <c r="J3" s="398" t="s">
        <v>663</v>
      </c>
      <c r="K3" s="398" t="s">
        <v>664</v>
      </c>
      <c r="L3" s="398" t="s">
        <v>665</v>
      </c>
      <c r="M3" s="398" t="s">
        <v>666</v>
      </c>
      <c r="N3" s="398" t="s">
        <v>667</v>
      </c>
      <c r="O3" s="398" t="s">
        <v>668</v>
      </c>
      <c r="P3" s="398" t="s">
        <v>669</v>
      </c>
      <c r="Q3" s="521" t="s">
        <v>670</v>
      </c>
      <c r="R3" s="683" t="s">
        <v>713</v>
      </c>
    </row>
    <row r="4" spans="1:20" ht="34.4" customHeight="1" x14ac:dyDescent="0.35">
      <c r="A4" s="671" t="s">
        <v>671</v>
      </c>
      <c r="B4" s="671" t="s">
        <v>672</v>
      </c>
      <c r="C4" s="671" t="s">
        <v>673</v>
      </c>
      <c r="D4" s="671" t="s">
        <v>674</v>
      </c>
      <c r="E4" s="682" t="s">
        <v>675</v>
      </c>
      <c r="F4" s="679"/>
      <c r="G4" s="679"/>
      <c r="H4" s="679"/>
      <c r="I4" s="680"/>
      <c r="J4" s="671" t="s">
        <v>676</v>
      </c>
      <c r="K4" s="671" t="s">
        <v>677</v>
      </c>
      <c r="L4" s="675" t="s">
        <v>678</v>
      </c>
      <c r="M4" s="675" t="s">
        <v>679</v>
      </c>
      <c r="N4" s="675" t="s">
        <v>680</v>
      </c>
      <c r="O4" s="671" t="s">
        <v>681</v>
      </c>
      <c r="P4" s="671" t="s">
        <v>682</v>
      </c>
      <c r="Q4" s="673" t="s">
        <v>683</v>
      </c>
      <c r="R4" s="684"/>
      <c r="T4" s="686"/>
    </row>
    <row r="5" spans="1:20" ht="27.65" customHeight="1" x14ac:dyDescent="0.35">
      <c r="A5" s="681"/>
      <c r="B5" s="672"/>
      <c r="C5" s="681"/>
      <c r="D5" s="681"/>
      <c r="E5" s="400">
        <v>2023</v>
      </c>
      <c r="F5" s="400">
        <v>2024</v>
      </c>
      <c r="G5" s="400">
        <v>2025</v>
      </c>
      <c r="H5" s="400">
        <v>2026</v>
      </c>
      <c r="I5" s="400">
        <v>2027</v>
      </c>
      <c r="J5" s="672"/>
      <c r="K5" s="672"/>
      <c r="L5" s="676"/>
      <c r="M5" s="676"/>
      <c r="N5" s="677"/>
      <c r="O5" s="672"/>
      <c r="P5" s="672"/>
      <c r="Q5" s="674"/>
      <c r="R5" s="684"/>
      <c r="S5" s="686"/>
      <c r="T5" s="686"/>
    </row>
    <row r="6" spans="1:20" s="706" customFormat="1" x14ac:dyDescent="0.35">
      <c r="A6" s="697" t="s">
        <v>147</v>
      </c>
      <c r="B6" t="s">
        <v>605</v>
      </c>
      <c r="C6" s="698">
        <v>3</v>
      </c>
      <c r="D6" s="699"/>
      <c r="E6" s="698"/>
      <c r="F6" s="698"/>
      <c r="G6" s="698"/>
      <c r="H6" s="698"/>
      <c r="I6" s="698"/>
      <c r="J6" s="700" t="s">
        <v>685</v>
      </c>
      <c r="K6" s="701" t="s">
        <v>686</v>
      </c>
      <c r="L6" s="692">
        <v>45457</v>
      </c>
      <c r="M6" s="700" t="s">
        <v>467</v>
      </c>
      <c r="N6" s="702"/>
      <c r="O6" s="701" t="s">
        <v>687</v>
      </c>
      <c r="P6" s="703">
        <v>0.1</v>
      </c>
      <c r="Q6" s="704" t="s">
        <v>688</v>
      </c>
      <c r="R6" s="705">
        <f>L6*P6</f>
        <v>4545.7</v>
      </c>
      <c r="S6" s="397"/>
    </row>
    <row r="7" spans="1:20" s="706" customFormat="1" x14ac:dyDescent="0.35">
      <c r="A7" s="697" t="s">
        <v>147</v>
      </c>
      <c r="B7" s="707" t="s">
        <v>613</v>
      </c>
      <c r="C7" s="698">
        <v>3</v>
      </c>
      <c r="D7" s="699"/>
      <c r="E7" s="698"/>
      <c r="F7" s="698"/>
      <c r="G7" s="698"/>
      <c r="H7" s="698"/>
      <c r="I7" s="698"/>
      <c r="J7" s="700" t="s">
        <v>685</v>
      </c>
      <c r="K7" s="701" t="s">
        <v>686</v>
      </c>
      <c r="L7" s="692">
        <v>85016</v>
      </c>
      <c r="M7" s="700" t="s">
        <v>467</v>
      </c>
      <c r="N7" s="702"/>
      <c r="O7" s="701" t="s">
        <v>687</v>
      </c>
      <c r="P7" s="703">
        <v>0.15</v>
      </c>
      <c r="Q7" s="704" t="s">
        <v>688</v>
      </c>
      <c r="R7" s="705">
        <f>L7*P7</f>
        <v>12752.4</v>
      </c>
      <c r="S7" s="397"/>
    </row>
    <row r="8" spans="1:20" s="708" customFormat="1" x14ac:dyDescent="0.35">
      <c r="A8" s="697" t="s">
        <v>147</v>
      </c>
      <c r="B8" s="707" t="s">
        <v>610</v>
      </c>
      <c r="C8" s="698">
        <v>3</v>
      </c>
      <c r="D8" s="699"/>
      <c r="E8" s="698"/>
      <c r="F8" s="698"/>
      <c r="G8" s="698"/>
      <c r="H8" s="698"/>
      <c r="I8" s="698"/>
      <c r="J8" s="700" t="s">
        <v>685</v>
      </c>
      <c r="K8" s="701" t="s">
        <v>686</v>
      </c>
      <c r="L8" s="692">
        <v>60637</v>
      </c>
      <c r="M8" s="700" t="s">
        <v>467</v>
      </c>
      <c r="N8" s="702"/>
      <c r="O8" s="701" t="s">
        <v>687</v>
      </c>
      <c r="P8" s="703">
        <v>1</v>
      </c>
      <c r="Q8" s="704" t="s">
        <v>688</v>
      </c>
      <c r="R8" s="705">
        <f t="shared" ref="R8:R10" si="0">L8*P8</f>
        <v>60637</v>
      </c>
    </row>
    <row r="9" spans="1:20" s="708" customFormat="1" x14ac:dyDescent="0.35">
      <c r="A9" s="697" t="s">
        <v>147</v>
      </c>
      <c r="B9" s="707" t="s">
        <v>611</v>
      </c>
      <c r="C9" s="698">
        <v>3</v>
      </c>
      <c r="D9" s="699"/>
      <c r="E9" s="698"/>
      <c r="F9" s="698"/>
      <c r="G9" s="698"/>
      <c r="H9" s="698"/>
      <c r="I9" s="698"/>
      <c r="J9" s="700" t="s">
        <v>685</v>
      </c>
      <c r="K9" s="701" t="s">
        <v>686</v>
      </c>
      <c r="L9" s="692">
        <v>60530</v>
      </c>
      <c r="M9" s="700" t="s">
        <v>467</v>
      </c>
      <c r="N9" s="702"/>
      <c r="O9" s="701" t="s">
        <v>687</v>
      </c>
      <c r="P9" s="703">
        <v>0.1</v>
      </c>
      <c r="Q9" s="704" t="s">
        <v>688</v>
      </c>
      <c r="R9" s="705">
        <f t="shared" si="0"/>
        <v>6053</v>
      </c>
      <c r="T9" s="710">
        <f>T10-S10</f>
        <v>-0.35000000000582077</v>
      </c>
    </row>
    <row r="10" spans="1:20" s="706" customFormat="1" x14ac:dyDescent="0.35">
      <c r="A10" s="697" t="s">
        <v>147</v>
      </c>
      <c r="B10" s="707" t="s">
        <v>616</v>
      </c>
      <c r="C10" s="698">
        <v>3</v>
      </c>
      <c r="D10" s="699"/>
      <c r="E10" s="698"/>
      <c r="F10" s="698"/>
      <c r="G10" s="698"/>
      <c r="H10" s="698"/>
      <c r="I10" s="698"/>
      <c r="J10" s="700" t="s">
        <v>685</v>
      </c>
      <c r="K10" s="701" t="s">
        <v>686</v>
      </c>
      <c r="L10" s="692">
        <v>48975</v>
      </c>
      <c r="M10" s="700" t="s">
        <v>467</v>
      </c>
      <c r="N10" s="702"/>
      <c r="O10" s="701" t="s">
        <v>687</v>
      </c>
      <c r="P10" s="703">
        <v>0.15</v>
      </c>
      <c r="Q10" s="704" t="s">
        <v>688</v>
      </c>
      <c r="R10" s="705">
        <f t="shared" si="0"/>
        <v>7346.25</v>
      </c>
      <c r="S10" s="709">
        <f>SUM(R6:R10)</f>
        <v>91334.35</v>
      </c>
      <c r="T10" s="709">
        <f>'kuni 2025 detsember tegevuskava'!AD46</f>
        <v>91334</v>
      </c>
    </row>
    <row r="11" spans="1:20" s="708" customFormat="1" x14ac:dyDescent="0.35">
      <c r="A11" s="697" t="s">
        <v>164</v>
      </c>
      <c r="B11" t="s">
        <v>605</v>
      </c>
      <c r="C11" s="698">
        <v>3</v>
      </c>
      <c r="D11" s="699"/>
      <c r="E11" s="698"/>
      <c r="F11" s="698"/>
      <c r="G11" s="698"/>
      <c r="H11" s="698"/>
      <c r="I11" s="698"/>
      <c r="J11" s="700" t="s">
        <v>685</v>
      </c>
      <c r="K11" s="701" t="s">
        <v>686</v>
      </c>
      <c r="L11" s="692">
        <v>45457</v>
      </c>
      <c r="M11" s="700" t="s">
        <v>467</v>
      </c>
      <c r="N11" s="702"/>
      <c r="O11" s="701" t="s">
        <v>687</v>
      </c>
      <c r="P11" s="703">
        <v>0.1</v>
      </c>
      <c r="Q11" s="704" t="s">
        <v>688</v>
      </c>
      <c r="R11" s="705">
        <f>L11*P11</f>
        <v>4545.7</v>
      </c>
    </row>
    <row r="12" spans="1:20" s="708" customFormat="1" x14ac:dyDescent="0.35">
      <c r="A12" s="697" t="s">
        <v>164</v>
      </c>
      <c r="B12" s="707" t="s">
        <v>613</v>
      </c>
      <c r="C12" s="698">
        <v>3</v>
      </c>
      <c r="D12" s="699"/>
      <c r="E12" s="698"/>
      <c r="F12" s="698"/>
      <c r="G12" s="698"/>
      <c r="H12" s="698"/>
      <c r="I12" s="698"/>
      <c r="J12" s="700" t="s">
        <v>685</v>
      </c>
      <c r="K12" s="701" t="s">
        <v>686</v>
      </c>
      <c r="L12" s="692">
        <v>85016</v>
      </c>
      <c r="M12" s="700" t="s">
        <v>467</v>
      </c>
      <c r="N12" s="702"/>
      <c r="O12" s="701" t="s">
        <v>687</v>
      </c>
      <c r="P12" s="703">
        <v>0.1</v>
      </c>
      <c r="Q12" s="704" t="s">
        <v>688</v>
      </c>
      <c r="R12" s="705">
        <f>L12*P12</f>
        <v>8501.6</v>
      </c>
    </row>
    <row r="13" spans="1:20" s="708" customFormat="1" x14ac:dyDescent="0.35">
      <c r="A13" s="697" t="s">
        <v>164</v>
      </c>
      <c r="B13" s="707" t="s">
        <v>610</v>
      </c>
      <c r="C13" s="698">
        <v>3</v>
      </c>
      <c r="D13" s="699"/>
      <c r="E13" s="698"/>
      <c r="F13" s="698"/>
      <c r="G13" s="698"/>
      <c r="H13" s="698"/>
      <c r="I13" s="698"/>
      <c r="J13" s="700" t="s">
        <v>685</v>
      </c>
      <c r="K13" s="701" t="s">
        <v>686</v>
      </c>
      <c r="L13" s="692">
        <v>60637</v>
      </c>
      <c r="M13" s="700" t="s">
        <v>467</v>
      </c>
      <c r="N13" s="702"/>
      <c r="O13" s="701" t="s">
        <v>687</v>
      </c>
      <c r="P13" s="703">
        <v>0.4</v>
      </c>
      <c r="Q13" s="704" t="s">
        <v>688</v>
      </c>
      <c r="R13" s="705">
        <f t="shared" ref="R13:R15" si="1">L13*P13</f>
        <v>24254.800000000003</v>
      </c>
    </row>
    <row r="14" spans="1:20" s="708" customFormat="1" x14ac:dyDescent="0.35">
      <c r="A14" s="697" t="s">
        <v>164</v>
      </c>
      <c r="B14" s="707" t="s">
        <v>611</v>
      </c>
      <c r="C14" s="698">
        <v>3</v>
      </c>
      <c r="D14" s="699"/>
      <c r="E14" s="698"/>
      <c r="F14" s="698"/>
      <c r="G14" s="698"/>
      <c r="H14" s="698"/>
      <c r="I14" s="698"/>
      <c r="J14" s="700" t="s">
        <v>685</v>
      </c>
      <c r="K14" s="701" t="s">
        <v>686</v>
      </c>
      <c r="L14" s="692">
        <v>60530</v>
      </c>
      <c r="M14" s="700" t="s">
        <v>467</v>
      </c>
      <c r="N14" s="702"/>
      <c r="O14" s="701" t="s">
        <v>687</v>
      </c>
      <c r="P14" s="703">
        <v>0.1</v>
      </c>
      <c r="Q14" s="704" t="s">
        <v>688</v>
      </c>
      <c r="R14" s="705">
        <f t="shared" si="1"/>
        <v>6053</v>
      </c>
      <c r="T14" s="710">
        <f>T15-S15</f>
        <v>0.39999999999417923</v>
      </c>
    </row>
    <row r="15" spans="1:20" s="708" customFormat="1" x14ac:dyDescent="0.35">
      <c r="A15" s="697" t="s">
        <v>164</v>
      </c>
      <c r="B15" s="707" t="s">
        <v>616</v>
      </c>
      <c r="C15" s="698">
        <v>3</v>
      </c>
      <c r="D15" s="699"/>
      <c r="E15" s="698"/>
      <c r="F15" s="698"/>
      <c r="G15" s="698"/>
      <c r="H15" s="698"/>
      <c r="I15" s="698"/>
      <c r="J15" s="700" t="s">
        <v>685</v>
      </c>
      <c r="K15" s="701" t="s">
        <v>686</v>
      </c>
      <c r="L15" s="692">
        <v>48975</v>
      </c>
      <c r="M15" s="700" t="s">
        <v>467</v>
      </c>
      <c r="N15" s="702"/>
      <c r="O15" s="701" t="s">
        <v>687</v>
      </c>
      <c r="P15" s="703">
        <v>0.1</v>
      </c>
      <c r="Q15" s="704" t="s">
        <v>688</v>
      </c>
      <c r="R15" s="705">
        <f t="shared" si="1"/>
        <v>4897.5</v>
      </c>
      <c r="S15" s="710">
        <f>SUM(R11:R15)</f>
        <v>48252.600000000006</v>
      </c>
      <c r="T15" s="710">
        <f>'kuni 2025 detsember tegevuskava'!AD49</f>
        <v>48253</v>
      </c>
    </row>
    <row r="16" spans="1:20" s="706" customFormat="1" x14ac:dyDescent="0.35">
      <c r="A16" s="697" t="s">
        <v>170</v>
      </c>
      <c r="B16" t="s">
        <v>605</v>
      </c>
      <c r="C16" s="698">
        <v>3</v>
      </c>
      <c r="D16" s="699"/>
      <c r="E16" s="698"/>
      <c r="F16" s="698"/>
      <c r="G16" s="698"/>
      <c r="H16" s="698"/>
      <c r="I16" s="698"/>
      <c r="J16" s="700" t="s">
        <v>685</v>
      </c>
      <c r="K16" s="701" t="s">
        <v>686</v>
      </c>
      <c r="L16" s="692">
        <v>45457</v>
      </c>
      <c r="M16" s="700" t="s">
        <v>467</v>
      </c>
      <c r="N16" s="702"/>
      <c r="O16" s="701" t="s">
        <v>687</v>
      </c>
      <c r="P16" s="703">
        <v>0.2</v>
      </c>
      <c r="Q16" s="704" t="s">
        <v>688</v>
      </c>
      <c r="R16" s="705">
        <f>L16*P16</f>
        <v>9091.4</v>
      </c>
    </row>
    <row r="17" spans="1:20" s="708" customFormat="1" x14ac:dyDescent="0.35">
      <c r="A17" s="697" t="s">
        <v>170</v>
      </c>
      <c r="B17" s="707" t="s">
        <v>613</v>
      </c>
      <c r="C17" s="698">
        <v>3</v>
      </c>
      <c r="D17" s="699"/>
      <c r="E17" s="698"/>
      <c r="F17" s="698"/>
      <c r="G17" s="698"/>
      <c r="H17" s="698"/>
      <c r="I17" s="698"/>
      <c r="J17" s="700" t="s">
        <v>685</v>
      </c>
      <c r="K17" s="701" t="s">
        <v>686</v>
      </c>
      <c r="L17" s="692">
        <v>85016</v>
      </c>
      <c r="M17" s="700" t="s">
        <v>467</v>
      </c>
      <c r="N17" s="702"/>
      <c r="O17" s="701" t="s">
        <v>687</v>
      </c>
      <c r="P17" s="703">
        <v>0.2</v>
      </c>
      <c r="Q17" s="704" t="s">
        <v>688</v>
      </c>
      <c r="R17" s="705">
        <f>L17*P17</f>
        <v>17003.2</v>
      </c>
    </row>
    <row r="18" spans="1:20" s="708" customFormat="1" x14ac:dyDescent="0.35">
      <c r="A18" s="697" t="s">
        <v>170</v>
      </c>
      <c r="B18" s="707" t="s">
        <v>610</v>
      </c>
      <c r="C18" s="698">
        <v>3</v>
      </c>
      <c r="D18" s="699"/>
      <c r="E18" s="698"/>
      <c r="F18" s="698"/>
      <c r="G18" s="698"/>
      <c r="H18" s="698"/>
      <c r="I18" s="698"/>
      <c r="J18" s="700" t="s">
        <v>685</v>
      </c>
      <c r="K18" s="701" t="s">
        <v>686</v>
      </c>
      <c r="L18" s="692">
        <v>60637</v>
      </c>
      <c r="M18" s="700" t="s">
        <v>467</v>
      </c>
      <c r="N18" s="702"/>
      <c r="O18" s="701" t="s">
        <v>687</v>
      </c>
      <c r="P18" s="703">
        <v>0.4</v>
      </c>
      <c r="Q18" s="704" t="s">
        <v>688</v>
      </c>
      <c r="R18" s="705">
        <f t="shared" ref="R18:R20" si="2">L18*P18</f>
        <v>24254.800000000003</v>
      </c>
    </row>
    <row r="19" spans="1:20" s="708" customFormat="1" x14ac:dyDescent="0.35">
      <c r="A19" s="697" t="s">
        <v>170</v>
      </c>
      <c r="B19" s="594" t="s">
        <v>615</v>
      </c>
      <c r="C19" s="698">
        <v>3</v>
      </c>
      <c r="D19" s="699"/>
      <c r="E19" s="698"/>
      <c r="F19" s="698"/>
      <c r="G19" s="698"/>
      <c r="H19" s="698"/>
      <c r="I19" s="698"/>
      <c r="J19" s="700" t="s">
        <v>685</v>
      </c>
      <c r="K19" s="701" t="s">
        <v>686</v>
      </c>
      <c r="L19" s="692">
        <v>46834</v>
      </c>
      <c r="M19" s="700" t="s">
        <v>467</v>
      </c>
      <c r="N19" s="702"/>
      <c r="O19" s="701" t="s">
        <v>687</v>
      </c>
      <c r="P19" s="703">
        <v>0.2</v>
      </c>
      <c r="Q19" s="704" t="s">
        <v>688</v>
      </c>
      <c r="R19" s="705">
        <f t="shared" si="2"/>
        <v>9366.8000000000011</v>
      </c>
      <c r="T19" s="710">
        <f>T20-S20</f>
        <v>-0.20000000001164153</v>
      </c>
    </row>
    <row r="20" spans="1:20" s="708" customFormat="1" x14ac:dyDescent="0.35">
      <c r="A20" s="697" t="s">
        <v>170</v>
      </c>
      <c r="B20" s="707" t="s">
        <v>611</v>
      </c>
      <c r="C20" s="698">
        <v>3</v>
      </c>
      <c r="D20" s="699"/>
      <c r="E20" s="698"/>
      <c r="F20" s="698"/>
      <c r="G20" s="698"/>
      <c r="H20" s="698"/>
      <c r="I20" s="698"/>
      <c r="J20" s="700" t="s">
        <v>685</v>
      </c>
      <c r="K20" s="701" t="s">
        <v>686</v>
      </c>
      <c r="L20" s="692">
        <v>60530</v>
      </c>
      <c r="M20" s="700" t="s">
        <v>467</v>
      </c>
      <c r="N20" s="702"/>
      <c r="O20" s="701" t="s">
        <v>687</v>
      </c>
      <c r="P20" s="703">
        <v>0.2</v>
      </c>
      <c r="Q20" s="704" t="s">
        <v>688</v>
      </c>
      <c r="R20" s="705">
        <f t="shared" si="2"/>
        <v>12106</v>
      </c>
      <c r="S20" s="710">
        <f>SUM(R16:R20)</f>
        <v>71822.200000000012</v>
      </c>
      <c r="T20" s="710">
        <f>'kuni 2025 detsember tegevuskava'!AD50</f>
        <v>71822</v>
      </c>
    </row>
    <row r="21" spans="1:20" s="234" customFormat="1" x14ac:dyDescent="0.35">
      <c r="A21" s="711" t="s">
        <v>442</v>
      </c>
      <c r="B21" s="688" t="s">
        <v>605</v>
      </c>
      <c r="C21" s="689">
        <v>3</v>
      </c>
      <c r="D21" s="687"/>
      <c r="E21" s="689"/>
      <c r="F21" s="689"/>
      <c r="G21" s="689"/>
      <c r="H21" s="689"/>
      <c r="I21" s="689"/>
      <c r="J21" s="691" t="s">
        <v>467</v>
      </c>
      <c r="K21" s="691" t="s">
        <v>690</v>
      </c>
      <c r="L21" s="692">
        <v>45457</v>
      </c>
      <c r="M21" s="690" t="s">
        <v>467</v>
      </c>
      <c r="N21" s="693"/>
      <c r="O21" s="691" t="s">
        <v>687</v>
      </c>
      <c r="P21" s="694">
        <v>0.5</v>
      </c>
      <c r="Q21" s="695" t="s">
        <v>688</v>
      </c>
      <c r="R21" s="696">
        <f>L21*P21</f>
        <v>22728.5</v>
      </c>
    </row>
    <row r="22" spans="1:20" s="234" customFormat="1" x14ac:dyDescent="0.35">
      <c r="A22" s="711" t="s">
        <v>442</v>
      </c>
      <c r="B22" s="688" t="s">
        <v>612</v>
      </c>
      <c r="C22" s="714">
        <v>2</v>
      </c>
      <c r="D22" s="687"/>
      <c r="E22" s="689"/>
      <c r="F22" s="689"/>
      <c r="G22" s="689"/>
      <c r="H22" s="689"/>
      <c r="I22" s="689"/>
      <c r="J22" s="691" t="s">
        <v>685</v>
      </c>
      <c r="K22" s="691" t="s">
        <v>686</v>
      </c>
      <c r="L22" s="713">
        <v>46790</v>
      </c>
      <c r="M22" s="690" t="s">
        <v>467</v>
      </c>
      <c r="N22" s="693"/>
      <c r="O22" s="691" t="s">
        <v>687</v>
      </c>
      <c r="P22" s="694">
        <v>0.2</v>
      </c>
      <c r="Q22" s="695" t="s">
        <v>688</v>
      </c>
      <c r="R22" s="696">
        <f>L22*P22</f>
        <v>9358</v>
      </c>
    </row>
    <row r="23" spans="1:20" s="593" customFormat="1" x14ac:dyDescent="0.35">
      <c r="A23" s="711" t="s">
        <v>442</v>
      </c>
      <c r="B23" s="688" t="s">
        <v>613</v>
      </c>
      <c r="C23" s="689">
        <v>3</v>
      </c>
      <c r="D23" s="687"/>
      <c r="E23" s="689"/>
      <c r="F23" s="689"/>
      <c r="G23" s="689"/>
      <c r="H23" s="689"/>
      <c r="I23" s="689"/>
      <c r="J23" s="691" t="s">
        <v>685</v>
      </c>
      <c r="K23" s="691" t="s">
        <v>686</v>
      </c>
      <c r="L23" s="692">
        <v>85016</v>
      </c>
      <c r="M23" s="690" t="s">
        <v>467</v>
      </c>
      <c r="N23" s="693"/>
      <c r="O23" s="691" t="s">
        <v>687</v>
      </c>
      <c r="P23" s="694">
        <v>0.1</v>
      </c>
      <c r="Q23" s="695" t="s">
        <v>688</v>
      </c>
      <c r="R23" s="696">
        <f>L23*P23</f>
        <v>8501.6</v>
      </c>
    </row>
    <row r="24" spans="1:20" s="234" customFormat="1" x14ac:dyDescent="0.35">
      <c r="A24" s="711" t="s">
        <v>442</v>
      </c>
      <c r="B24" s="688" t="s">
        <v>610</v>
      </c>
      <c r="C24" s="689">
        <v>3</v>
      </c>
      <c r="D24" s="687"/>
      <c r="E24" s="689"/>
      <c r="F24" s="689"/>
      <c r="G24" s="689"/>
      <c r="H24" s="689"/>
      <c r="I24" s="689"/>
      <c r="J24" s="691" t="s">
        <v>685</v>
      </c>
      <c r="K24" s="691" t="s">
        <v>686</v>
      </c>
      <c r="L24" s="692">
        <v>60637</v>
      </c>
      <c r="M24" s="690" t="s">
        <v>467</v>
      </c>
      <c r="N24" s="693"/>
      <c r="O24" s="691" t="s">
        <v>687</v>
      </c>
      <c r="P24" s="694">
        <v>0.4</v>
      </c>
      <c r="Q24" s="695" t="s">
        <v>688</v>
      </c>
      <c r="R24" s="696">
        <f t="shared" ref="R24:R26" si="3">L24*P24</f>
        <v>24254.800000000003</v>
      </c>
    </row>
    <row r="25" spans="1:20" s="234" customFormat="1" x14ac:dyDescent="0.35">
      <c r="A25" s="711" t="s">
        <v>442</v>
      </c>
      <c r="B25" s="688" t="s">
        <v>611</v>
      </c>
      <c r="C25" s="689">
        <v>3</v>
      </c>
      <c r="D25" s="687"/>
      <c r="E25" s="689"/>
      <c r="F25" s="689"/>
      <c r="G25" s="689"/>
      <c r="H25" s="689"/>
      <c r="I25" s="689"/>
      <c r="J25" s="691" t="s">
        <v>685</v>
      </c>
      <c r="K25" s="691" t="s">
        <v>686</v>
      </c>
      <c r="L25" s="692">
        <v>60530</v>
      </c>
      <c r="M25" s="690" t="s">
        <v>467</v>
      </c>
      <c r="N25" s="693"/>
      <c r="O25" s="691" t="s">
        <v>687</v>
      </c>
      <c r="P25" s="694">
        <v>0.1</v>
      </c>
      <c r="Q25" s="695" t="s">
        <v>688</v>
      </c>
      <c r="R25" s="696">
        <f t="shared" si="3"/>
        <v>6053</v>
      </c>
      <c r="T25" s="712">
        <f>T26-S26</f>
        <v>-0.39999999999417923</v>
      </c>
    </row>
    <row r="26" spans="1:20" s="234" customFormat="1" x14ac:dyDescent="0.35">
      <c r="A26" s="711" t="s">
        <v>442</v>
      </c>
      <c r="B26" s="688" t="s">
        <v>616</v>
      </c>
      <c r="C26" s="689">
        <v>3</v>
      </c>
      <c r="D26" s="687"/>
      <c r="E26" s="689"/>
      <c r="F26" s="689"/>
      <c r="G26" s="689"/>
      <c r="H26" s="689"/>
      <c r="I26" s="689"/>
      <c r="J26" s="690" t="s">
        <v>685</v>
      </c>
      <c r="K26" s="691" t="s">
        <v>686</v>
      </c>
      <c r="L26" s="692">
        <v>48975</v>
      </c>
      <c r="M26" s="690" t="s">
        <v>467</v>
      </c>
      <c r="N26" s="693"/>
      <c r="O26" s="691" t="s">
        <v>687</v>
      </c>
      <c r="P26" s="694">
        <v>0.1</v>
      </c>
      <c r="Q26" s="695" t="s">
        <v>688</v>
      </c>
      <c r="R26" s="696">
        <f t="shared" si="3"/>
        <v>4897.5</v>
      </c>
      <c r="S26" s="712">
        <f>SUM(R21:R26)</f>
        <v>75793.399999999994</v>
      </c>
      <c r="T26" s="712">
        <f>'kuni 2025 detsember tegevuskava'!AD51</f>
        <v>75793</v>
      </c>
    </row>
    <row r="27" spans="1:20" s="234" customFormat="1" x14ac:dyDescent="0.35">
      <c r="A27" s="711" t="s">
        <v>689</v>
      </c>
      <c r="B27" s="688" t="s">
        <v>605</v>
      </c>
      <c r="C27" s="689">
        <v>3</v>
      </c>
      <c r="D27" s="687"/>
      <c r="E27" s="689"/>
      <c r="F27" s="689"/>
      <c r="G27" s="689"/>
      <c r="H27" s="689"/>
      <c r="I27" s="689"/>
      <c r="J27" s="691" t="s">
        <v>467</v>
      </c>
      <c r="K27" s="691" t="s">
        <v>690</v>
      </c>
      <c r="L27" s="692">
        <v>45457</v>
      </c>
      <c r="M27" s="690" t="s">
        <v>467</v>
      </c>
      <c r="N27" s="693"/>
      <c r="O27" s="691" t="s">
        <v>687</v>
      </c>
      <c r="P27" s="694">
        <v>0.4</v>
      </c>
      <c r="Q27" s="695" t="s">
        <v>688</v>
      </c>
      <c r="R27" s="696">
        <f>L27*P27</f>
        <v>18182.8</v>
      </c>
    </row>
    <row r="28" spans="1:20" s="234" customFormat="1" x14ac:dyDescent="0.35">
      <c r="A28" s="711" t="s">
        <v>689</v>
      </c>
      <c r="B28" s="688" t="s">
        <v>612</v>
      </c>
      <c r="C28" s="714">
        <v>2</v>
      </c>
      <c r="D28" s="687"/>
      <c r="E28" s="689"/>
      <c r="F28" s="689"/>
      <c r="G28" s="689"/>
      <c r="H28" s="689"/>
      <c r="I28" s="689"/>
      <c r="J28" s="691" t="s">
        <v>685</v>
      </c>
      <c r="K28" s="691" t="s">
        <v>686</v>
      </c>
      <c r="L28" s="713">
        <v>46790</v>
      </c>
      <c r="M28" s="690" t="s">
        <v>467</v>
      </c>
      <c r="N28" s="693"/>
      <c r="O28" s="691" t="s">
        <v>687</v>
      </c>
      <c r="P28" s="694">
        <v>0.2</v>
      </c>
      <c r="Q28" s="695" t="s">
        <v>688</v>
      </c>
      <c r="R28" s="696">
        <f>L28*P28</f>
        <v>9358</v>
      </c>
    </row>
    <row r="29" spans="1:20" s="593" customFormat="1" x14ac:dyDescent="0.35">
      <c r="A29" s="711" t="s">
        <v>689</v>
      </c>
      <c r="B29" s="688" t="s">
        <v>613</v>
      </c>
      <c r="C29" s="689">
        <v>3</v>
      </c>
      <c r="D29" s="687"/>
      <c r="E29" s="689"/>
      <c r="F29" s="689"/>
      <c r="G29" s="689"/>
      <c r="H29" s="689"/>
      <c r="I29" s="689"/>
      <c r="J29" s="690" t="s">
        <v>685</v>
      </c>
      <c r="K29" s="691" t="s">
        <v>686</v>
      </c>
      <c r="L29" s="692">
        <v>85016</v>
      </c>
      <c r="M29" s="690" t="s">
        <v>467</v>
      </c>
      <c r="N29" s="693"/>
      <c r="O29" s="691" t="s">
        <v>687</v>
      </c>
      <c r="P29" s="694">
        <v>0.2</v>
      </c>
      <c r="Q29" s="695" t="s">
        <v>688</v>
      </c>
      <c r="R29" s="696">
        <f>L29*P29</f>
        <v>17003.2</v>
      </c>
    </row>
    <row r="30" spans="1:20" s="593" customFormat="1" x14ac:dyDescent="0.35">
      <c r="A30" s="711" t="s">
        <v>689</v>
      </c>
      <c r="B30" s="688" t="s">
        <v>610</v>
      </c>
      <c r="C30" s="689">
        <v>3</v>
      </c>
      <c r="D30" s="687"/>
      <c r="E30" s="689"/>
      <c r="F30" s="689"/>
      <c r="G30" s="689"/>
      <c r="H30" s="689"/>
      <c r="I30" s="689"/>
      <c r="J30" s="690" t="s">
        <v>685</v>
      </c>
      <c r="K30" s="691" t="s">
        <v>686</v>
      </c>
      <c r="L30" s="692">
        <v>60637</v>
      </c>
      <c r="M30" s="690" t="s">
        <v>467</v>
      </c>
      <c r="N30" s="693"/>
      <c r="O30" s="691" t="s">
        <v>687</v>
      </c>
      <c r="P30" s="694">
        <v>0.4</v>
      </c>
      <c r="Q30" s="695" t="s">
        <v>688</v>
      </c>
      <c r="R30" s="696">
        <f t="shared" ref="R30:R33" si="4">L30*P30</f>
        <v>24254.800000000003</v>
      </c>
    </row>
    <row r="31" spans="1:20" s="234" customFormat="1" x14ac:dyDescent="0.35">
      <c r="A31" s="711" t="s">
        <v>689</v>
      </c>
      <c r="B31" s="688" t="s">
        <v>615</v>
      </c>
      <c r="C31" s="689">
        <v>3</v>
      </c>
      <c r="D31" s="687"/>
      <c r="E31" s="689"/>
      <c r="F31" s="689"/>
      <c r="G31" s="689"/>
      <c r="H31" s="689"/>
      <c r="I31" s="689"/>
      <c r="J31" s="690" t="s">
        <v>685</v>
      </c>
      <c r="K31" s="691" t="s">
        <v>686</v>
      </c>
      <c r="L31" s="692">
        <v>46834</v>
      </c>
      <c r="M31" s="690" t="s">
        <v>467</v>
      </c>
      <c r="N31" s="693"/>
      <c r="O31" s="691" t="s">
        <v>687</v>
      </c>
      <c r="P31" s="694">
        <v>0.2</v>
      </c>
      <c r="Q31" s="695" t="s">
        <v>688</v>
      </c>
      <c r="R31" s="696">
        <f t="shared" si="4"/>
        <v>9366.8000000000011</v>
      </c>
    </row>
    <row r="32" spans="1:20" s="234" customFormat="1" x14ac:dyDescent="0.35">
      <c r="A32" s="711" t="s">
        <v>689</v>
      </c>
      <c r="B32" s="688" t="s">
        <v>611</v>
      </c>
      <c r="C32" s="689">
        <v>3</v>
      </c>
      <c r="D32" s="687"/>
      <c r="E32" s="689"/>
      <c r="F32" s="689"/>
      <c r="G32" s="689"/>
      <c r="H32" s="689"/>
      <c r="I32" s="689"/>
      <c r="J32" s="690" t="s">
        <v>685</v>
      </c>
      <c r="K32" s="691" t="s">
        <v>686</v>
      </c>
      <c r="L32" s="692">
        <v>60530</v>
      </c>
      <c r="M32" s="690" t="s">
        <v>467</v>
      </c>
      <c r="N32" s="693"/>
      <c r="O32" s="691" t="s">
        <v>687</v>
      </c>
      <c r="P32" s="694">
        <v>0.15</v>
      </c>
      <c r="Q32" s="695" t="s">
        <v>688</v>
      </c>
      <c r="R32" s="696">
        <f t="shared" si="4"/>
        <v>9079.5</v>
      </c>
    </row>
    <row r="33" spans="1:21" s="234" customFormat="1" x14ac:dyDescent="0.35">
      <c r="A33" s="711" t="s">
        <v>689</v>
      </c>
      <c r="B33" s="688" t="s">
        <v>616</v>
      </c>
      <c r="C33" s="689">
        <v>3</v>
      </c>
      <c r="D33" s="687"/>
      <c r="E33" s="689"/>
      <c r="F33" s="689"/>
      <c r="G33" s="689"/>
      <c r="H33" s="689"/>
      <c r="I33" s="689"/>
      <c r="J33" s="690" t="s">
        <v>685</v>
      </c>
      <c r="K33" s="691" t="s">
        <v>686</v>
      </c>
      <c r="L33" s="692">
        <v>48975</v>
      </c>
      <c r="M33" s="690" t="s">
        <v>467</v>
      </c>
      <c r="N33" s="693"/>
      <c r="O33" s="691" t="s">
        <v>687</v>
      </c>
      <c r="P33" s="694">
        <v>0.15</v>
      </c>
      <c r="Q33" s="695" t="s">
        <v>688</v>
      </c>
      <c r="R33" s="696">
        <f t="shared" si="4"/>
        <v>7346.25</v>
      </c>
      <c r="T33" s="712">
        <f>T34-S34</f>
        <v>0.14999999999417923</v>
      </c>
    </row>
    <row r="34" spans="1:21" s="234" customFormat="1" x14ac:dyDescent="0.35">
      <c r="A34" s="711" t="s">
        <v>689</v>
      </c>
      <c r="B34" t="s">
        <v>614</v>
      </c>
      <c r="C34" s="689">
        <v>3</v>
      </c>
      <c r="D34" s="687"/>
      <c r="E34" s="689"/>
      <c r="F34" s="689"/>
      <c r="G34" s="689"/>
      <c r="H34" s="689"/>
      <c r="I34" s="689"/>
      <c r="J34" s="690" t="s">
        <v>685</v>
      </c>
      <c r="K34" s="691" t="s">
        <v>686</v>
      </c>
      <c r="L34" s="692">
        <v>59258</v>
      </c>
      <c r="M34" s="690" t="s">
        <v>467</v>
      </c>
      <c r="N34" s="693"/>
      <c r="O34" s="691" t="s">
        <v>687</v>
      </c>
      <c r="P34" s="694">
        <v>0.25</v>
      </c>
      <c r="Q34" s="695" t="s">
        <v>688</v>
      </c>
      <c r="R34" s="696">
        <f t="shared" ref="R34" si="5">L34*P34</f>
        <v>14814.5</v>
      </c>
      <c r="S34" s="234">
        <f>SUM(R27:R34)</f>
        <v>109405.85</v>
      </c>
      <c r="T34" s="712">
        <f>'kuni 2025 detsember tegevuskava'!AD52</f>
        <v>109406</v>
      </c>
    </row>
    <row r="35" spans="1:21" s="234" customFormat="1" x14ac:dyDescent="0.35">
      <c r="A35" s="711" t="s">
        <v>193</v>
      </c>
      <c r="B35" s="688" t="s">
        <v>612</v>
      </c>
      <c r="C35" s="714">
        <v>2</v>
      </c>
      <c r="D35" s="687"/>
      <c r="E35" s="689"/>
      <c r="F35" s="689"/>
      <c r="G35" s="689"/>
      <c r="H35" s="689"/>
      <c r="I35" s="689"/>
      <c r="J35" s="691" t="s">
        <v>685</v>
      </c>
      <c r="K35" s="691" t="s">
        <v>686</v>
      </c>
      <c r="L35" s="713">
        <v>46790</v>
      </c>
      <c r="M35" s="690" t="s">
        <v>467</v>
      </c>
      <c r="N35" s="693"/>
      <c r="O35" s="691" t="s">
        <v>687</v>
      </c>
      <c r="P35" s="694">
        <v>0.1</v>
      </c>
      <c r="Q35" s="695" t="s">
        <v>688</v>
      </c>
      <c r="R35" s="696">
        <f>L35*P35</f>
        <v>4679</v>
      </c>
    </row>
    <row r="36" spans="1:21" s="593" customFormat="1" x14ac:dyDescent="0.35">
      <c r="A36" s="711" t="s">
        <v>193</v>
      </c>
      <c r="B36" s="688" t="s">
        <v>610</v>
      </c>
      <c r="C36" s="689">
        <v>3</v>
      </c>
      <c r="D36" s="687"/>
      <c r="E36" s="689"/>
      <c r="F36" s="689"/>
      <c r="G36" s="689"/>
      <c r="H36" s="689"/>
      <c r="I36" s="689"/>
      <c r="J36" s="690" t="s">
        <v>685</v>
      </c>
      <c r="K36" s="691" t="s">
        <v>686</v>
      </c>
      <c r="L36" s="692">
        <v>60637</v>
      </c>
      <c r="M36" s="690" t="s">
        <v>467</v>
      </c>
      <c r="N36" s="693"/>
      <c r="O36" s="691" t="s">
        <v>687</v>
      </c>
      <c r="P36" s="694">
        <v>0.1</v>
      </c>
      <c r="Q36" s="695" t="s">
        <v>688</v>
      </c>
      <c r="R36" s="696">
        <f t="shared" ref="R36:R39" si="6">L36*P36</f>
        <v>6063.7000000000007</v>
      </c>
    </row>
    <row r="37" spans="1:21" s="234" customFormat="1" x14ac:dyDescent="0.35">
      <c r="A37" s="711" t="s">
        <v>193</v>
      </c>
      <c r="B37" s="688" t="s">
        <v>615</v>
      </c>
      <c r="C37" s="689">
        <v>3</v>
      </c>
      <c r="D37" s="687"/>
      <c r="E37" s="689"/>
      <c r="F37" s="689"/>
      <c r="G37" s="689"/>
      <c r="H37" s="689"/>
      <c r="I37" s="689"/>
      <c r="J37" s="690" t="s">
        <v>685</v>
      </c>
      <c r="K37" s="691" t="s">
        <v>686</v>
      </c>
      <c r="L37" s="692">
        <v>46834</v>
      </c>
      <c r="M37" s="690" t="s">
        <v>467</v>
      </c>
      <c r="N37" s="693"/>
      <c r="O37" s="691" t="s">
        <v>687</v>
      </c>
      <c r="P37" s="694">
        <v>0.1</v>
      </c>
      <c r="Q37" s="695" t="s">
        <v>688</v>
      </c>
      <c r="R37" s="696">
        <f t="shared" si="6"/>
        <v>4683.4000000000005</v>
      </c>
    </row>
    <row r="38" spans="1:21" s="234" customFormat="1" x14ac:dyDescent="0.35">
      <c r="A38" s="711" t="s">
        <v>193</v>
      </c>
      <c r="B38" s="688" t="s">
        <v>611</v>
      </c>
      <c r="C38" s="689">
        <v>3</v>
      </c>
      <c r="D38" s="687"/>
      <c r="E38" s="689"/>
      <c r="F38" s="689"/>
      <c r="G38" s="689"/>
      <c r="H38" s="689"/>
      <c r="I38" s="689"/>
      <c r="J38" s="690" t="s">
        <v>685</v>
      </c>
      <c r="K38" s="691" t="s">
        <v>686</v>
      </c>
      <c r="L38" s="692">
        <v>60530</v>
      </c>
      <c r="M38" s="690" t="s">
        <v>467</v>
      </c>
      <c r="N38" s="693"/>
      <c r="O38" s="691" t="s">
        <v>687</v>
      </c>
      <c r="P38" s="694">
        <v>0.1</v>
      </c>
      <c r="Q38" s="695" t="s">
        <v>688</v>
      </c>
      <c r="R38" s="696">
        <f t="shared" si="6"/>
        <v>6053</v>
      </c>
      <c r="T38" s="712">
        <f>T39-S39</f>
        <v>-0.35000000000218279</v>
      </c>
    </row>
    <row r="39" spans="1:21" s="234" customFormat="1" x14ac:dyDescent="0.35">
      <c r="A39" s="711" t="s">
        <v>193</v>
      </c>
      <c r="B39" s="688" t="s">
        <v>616</v>
      </c>
      <c r="C39" s="689">
        <v>3</v>
      </c>
      <c r="D39" s="687"/>
      <c r="E39" s="689"/>
      <c r="F39" s="689"/>
      <c r="G39" s="689"/>
      <c r="H39" s="689"/>
      <c r="I39" s="689"/>
      <c r="J39" s="690" t="s">
        <v>685</v>
      </c>
      <c r="K39" s="691" t="s">
        <v>686</v>
      </c>
      <c r="L39" s="692">
        <v>48975</v>
      </c>
      <c r="M39" s="690" t="s">
        <v>467</v>
      </c>
      <c r="N39" s="693"/>
      <c r="O39" s="691" t="s">
        <v>687</v>
      </c>
      <c r="P39" s="694">
        <v>0.15</v>
      </c>
      <c r="Q39" s="695" t="s">
        <v>688</v>
      </c>
      <c r="R39" s="696">
        <f t="shared" si="6"/>
        <v>7346.25</v>
      </c>
      <c r="S39" s="712">
        <f>SUM(R35:R39)</f>
        <v>28825.350000000002</v>
      </c>
      <c r="T39" s="712">
        <f>'kuni 2025 detsember tegevuskava'!AD53</f>
        <v>28825</v>
      </c>
    </row>
    <row r="40" spans="1:21" s="234" customFormat="1" x14ac:dyDescent="0.35">
      <c r="A40" s="588" t="s">
        <v>220</v>
      </c>
      <c r="B40" s="688" t="s">
        <v>613</v>
      </c>
      <c r="C40" s="689">
        <v>3</v>
      </c>
      <c r="D40" s="687"/>
      <c r="E40" s="689"/>
      <c r="F40" s="689"/>
      <c r="G40" s="689"/>
      <c r="H40" s="689"/>
      <c r="I40" s="689"/>
      <c r="J40" s="690" t="s">
        <v>685</v>
      </c>
      <c r="K40" s="691" t="s">
        <v>686</v>
      </c>
      <c r="L40" s="692">
        <v>85016</v>
      </c>
      <c r="M40" s="690" t="s">
        <v>467</v>
      </c>
      <c r="N40" s="693"/>
      <c r="O40" s="691" t="s">
        <v>687</v>
      </c>
      <c r="P40" s="694">
        <v>0.1</v>
      </c>
      <c r="Q40" s="695" t="s">
        <v>688</v>
      </c>
      <c r="R40" s="696">
        <f>L40*P40</f>
        <v>8501.6</v>
      </c>
    </row>
    <row r="41" spans="1:21" s="593" customFormat="1" x14ac:dyDescent="0.35">
      <c r="A41" s="588" t="s">
        <v>220</v>
      </c>
      <c r="B41" s="688" t="s">
        <v>610</v>
      </c>
      <c r="C41" s="689">
        <v>3</v>
      </c>
      <c r="D41" s="687"/>
      <c r="E41" s="689"/>
      <c r="F41" s="689"/>
      <c r="G41" s="689"/>
      <c r="H41" s="689"/>
      <c r="I41" s="689"/>
      <c r="J41" s="690" t="s">
        <v>685</v>
      </c>
      <c r="K41" s="691" t="s">
        <v>686</v>
      </c>
      <c r="L41" s="692">
        <v>60637</v>
      </c>
      <c r="M41" s="690" t="s">
        <v>467</v>
      </c>
      <c r="N41" s="693"/>
      <c r="O41" s="691" t="s">
        <v>687</v>
      </c>
      <c r="P41" s="694">
        <v>0.3</v>
      </c>
      <c r="Q41" s="695" t="s">
        <v>688</v>
      </c>
      <c r="R41" s="696">
        <f t="shared" ref="R41:R43" si="7">L41*P41</f>
        <v>18191.099999999999</v>
      </c>
    </row>
    <row r="42" spans="1:21" s="234" customFormat="1" x14ac:dyDescent="0.35">
      <c r="A42" s="588" t="s">
        <v>220</v>
      </c>
      <c r="B42" s="594" t="s">
        <v>615</v>
      </c>
      <c r="C42" s="689">
        <v>3</v>
      </c>
      <c r="D42" s="687"/>
      <c r="E42" s="689"/>
      <c r="F42" s="689"/>
      <c r="G42" s="689"/>
      <c r="H42" s="689"/>
      <c r="I42" s="689"/>
      <c r="J42" s="690" t="s">
        <v>685</v>
      </c>
      <c r="K42" s="691" t="s">
        <v>686</v>
      </c>
      <c r="L42" s="692">
        <v>46834</v>
      </c>
      <c r="M42" s="690" t="s">
        <v>467</v>
      </c>
      <c r="N42" s="693"/>
      <c r="O42" s="691" t="s">
        <v>687</v>
      </c>
      <c r="P42" s="694">
        <v>0.25</v>
      </c>
      <c r="Q42" s="695" t="s">
        <v>688</v>
      </c>
      <c r="R42" s="696">
        <f t="shared" si="7"/>
        <v>11708.5</v>
      </c>
      <c r="S42"/>
      <c r="T42" s="712">
        <f>T43-S43</f>
        <v>0.30000000000291038</v>
      </c>
    </row>
    <row r="43" spans="1:21" x14ac:dyDescent="0.35">
      <c r="A43" s="588" t="s">
        <v>220</v>
      </c>
      <c r="B43" s="688" t="s">
        <v>611</v>
      </c>
      <c r="C43" s="689">
        <v>3</v>
      </c>
      <c r="D43" s="687"/>
      <c r="E43" s="689"/>
      <c r="F43" s="689"/>
      <c r="G43" s="689"/>
      <c r="H43" s="689"/>
      <c r="I43" s="689"/>
      <c r="J43" s="690" t="s">
        <v>685</v>
      </c>
      <c r="K43" s="691" t="s">
        <v>686</v>
      </c>
      <c r="L43" s="692">
        <v>60530</v>
      </c>
      <c r="M43" s="690" t="s">
        <v>467</v>
      </c>
      <c r="N43" s="693"/>
      <c r="O43" s="691" t="s">
        <v>687</v>
      </c>
      <c r="P43" s="694">
        <v>0.25</v>
      </c>
      <c r="Q43" s="695" t="s">
        <v>688</v>
      </c>
      <c r="R43" s="696">
        <f t="shared" si="7"/>
        <v>15132.5</v>
      </c>
      <c r="S43" s="712">
        <f>SUM(R40:R43)</f>
        <v>53533.7</v>
      </c>
      <c r="T43" s="712">
        <f>'kuni 2025 detsember tegevuskava'!AD61</f>
        <v>53534</v>
      </c>
    </row>
    <row r="44" spans="1:21" s="234" customFormat="1" x14ac:dyDescent="0.35">
      <c r="A44" s="588" t="s">
        <v>225</v>
      </c>
      <c r="B44" s="688" t="s">
        <v>610</v>
      </c>
      <c r="C44" s="689">
        <v>3</v>
      </c>
      <c r="D44" s="687"/>
      <c r="E44" s="689"/>
      <c r="F44" s="689"/>
      <c r="G44" s="689"/>
      <c r="H44" s="689"/>
      <c r="I44" s="689"/>
      <c r="J44" s="690" t="s">
        <v>685</v>
      </c>
      <c r="K44" s="691" t="s">
        <v>686</v>
      </c>
      <c r="L44" s="692">
        <v>60637</v>
      </c>
      <c r="M44" s="690" t="s">
        <v>467</v>
      </c>
      <c r="N44" s="693"/>
      <c r="O44" s="691" t="s">
        <v>687</v>
      </c>
      <c r="P44" s="694">
        <v>0.2</v>
      </c>
      <c r="Q44" s="695" t="s">
        <v>688</v>
      </c>
      <c r="R44" s="696">
        <f t="shared" ref="R44:R55" si="8">L44*P44</f>
        <v>12127.400000000001</v>
      </c>
    </row>
    <row r="45" spans="1:21" s="593" customFormat="1" x14ac:dyDescent="0.35">
      <c r="A45" s="588" t="s">
        <v>225</v>
      </c>
      <c r="B45" s="594" t="s">
        <v>615</v>
      </c>
      <c r="C45" s="689">
        <v>3</v>
      </c>
      <c r="D45" s="687"/>
      <c r="E45" s="689"/>
      <c r="F45" s="689"/>
      <c r="G45" s="689"/>
      <c r="H45" s="689"/>
      <c r="I45" s="689"/>
      <c r="J45" s="690" t="s">
        <v>685</v>
      </c>
      <c r="K45" s="691" t="s">
        <v>686</v>
      </c>
      <c r="L45" s="692">
        <v>46834</v>
      </c>
      <c r="M45" s="690" t="s">
        <v>467</v>
      </c>
      <c r="N45" s="693"/>
      <c r="O45" s="691" t="s">
        <v>687</v>
      </c>
      <c r="P45" s="694">
        <v>0.25</v>
      </c>
      <c r="Q45" s="695" t="s">
        <v>688</v>
      </c>
      <c r="R45" s="696">
        <f t="shared" si="8"/>
        <v>11708.5</v>
      </c>
      <c r="S45" s="234"/>
      <c r="T45" s="712">
        <f>T46-S46</f>
        <v>-0.40000000000145519</v>
      </c>
    </row>
    <row r="46" spans="1:21" s="234" customFormat="1" x14ac:dyDescent="0.35">
      <c r="A46" s="588" t="s">
        <v>225</v>
      </c>
      <c r="B46" s="688" t="s">
        <v>611</v>
      </c>
      <c r="C46" s="689">
        <v>3</v>
      </c>
      <c r="D46" s="687"/>
      <c r="E46" s="689"/>
      <c r="F46" s="689"/>
      <c r="G46" s="689"/>
      <c r="H46" s="689"/>
      <c r="I46" s="689"/>
      <c r="J46" s="690" t="s">
        <v>685</v>
      </c>
      <c r="K46" s="691" t="s">
        <v>686</v>
      </c>
      <c r="L46" s="692">
        <v>60530</v>
      </c>
      <c r="M46" s="690" t="s">
        <v>467</v>
      </c>
      <c r="N46" s="693"/>
      <c r="O46" s="691" t="s">
        <v>687</v>
      </c>
      <c r="P46" s="694">
        <v>0.25</v>
      </c>
      <c r="Q46" s="695" t="s">
        <v>688</v>
      </c>
      <c r="R46" s="696">
        <f t="shared" si="8"/>
        <v>15132.5</v>
      </c>
      <c r="S46" s="712">
        <f>SUM(R44:R46)</f>
        <v>38968.400000000001</v>
      </c>
      <c r="T46" s="712">
        <f>'kuni 2025 detsember tegevuskava'!AD62</f>
        <v>38968</v>
      </c>
    </row>
    <row r="47" spans="1:21" s="234" customFormat="1" x14ac:dyDescent="0.35">
      <c r="A47" s="711" t="s">
        <v>123</v>
      </c>
      <c r="B47" s="688" t="s">
        <v>710</v>
      </c>
      <c r="C47" s="689">
        <v>3</v>
      </c>
      <c r="D47" s="687" t="s">
        <v>123</v>
      </c>
      <c r="E47" s="689"/>
      <c r="F47" s="689"/>
      <c r="G47" s="689"/>
      <c r="H47" s="689"/>
      <c r="I47" s="689"/>
      <c r="J47" s="690" t="s">
        <v>685</v>
      </c>
      <c r="K47" s="691" t="s">
        <v>686</v>
      </c>
      <c r="L47" s="692">
        <v>82795</v>
      </c>
      <c r="M47" s="690" t="s">
        <v>467</v>
      </c>
      <c r="N47" s="693"/>
      <c r="O47" s="691" t="s">
        <v>687</v>
      </c>
      <c r="P47" s="694">
        <v>0.5</v>
      </c>
      <c r="Q47" s="695" t="s">
        <v>688</v>
      </c>
      <c r="R47" s="696">
        <f t="shared" si="8"/>
        <v>41397.5</v>
      </c>
      <c r="U47" s="715" t="s">
        <v>691</v>
      </c>
    </row>
    <row r="48" spans="1:21" s="234" customFormat="1" x14ac:dyDescent="0.35">
      <c r="A48" s="711" t="s">
        <v>210</v>
      </c>
      <c r="B48" s="688" t="s">
        <v>711</v>
      </c>
      <c r="C48" s="689">
        <v>3</v>
      </c>
      <c r="D48" s="687"/>
      <c r="E48" s="689"/>
      <c r="F48" s="689" t="s">
        <v>563</v>
      </c>
      <c r="G48" s="689"/>
      <c r="H48" s="689"/>
      <c r="I48" s="689"/>
      <c r="J48" s="690" t="s">
        <v>467</v>
      </c>
      <c r="K48" s="691" t="s">
        <v>690</v>
      </c>
      <c r="L48" s="692">
        <f>3500.7*12*1.338*1.05/12*5</f>
        <v>24590.667150000001</v>
      </c>
      <c r="M48" s="690" t="s">
        <v>467</v>
      </c>
      <c r="N48" s="693"/>
      <c r="O48" s="691" t="s">
        <v>687</v>
      </c>
      <c r="P48" s="694">
        <v>1</v>
      </c>
      <c r="Q48" s="695" t="s">
        <v>688</v>
      </c>
      <c r="R48" s="716">
        <f>3500.7*12*1.338*1.05*1.05</f>
        <v>61968.481218000001</v>
      </c>
      <c r="T48" s="712">
        <f>T49-S49</f>
        <v>-0.21243600000161678</v>
      </c>
      <c r="U48" s="234" t="s">
        <v>715</v>
      </c>
    </row>
    <row r="49" spans="1:21" s="234" customFormat="1" x14ac:dyDescent="0.35">
      <c r="A49" s="711" t="s">
        <v>210</v>
      </c>
      <c r="B49" s="688" t="s">
        <v>711</v>
      </c>
      <c r="C49" s="689">
        <v>3</v>
      </c>
      <c r="D49" s="687"/>
      <c r="E49" s="689"/>
      <c r="F49" s="689" t="s">
        <v>563</v>
      </c>
      <c r="G49" s="689"/>
      <c r="H49" s="689"/>
      <c r="I49" s="689"/>
      <c r="J49" s="690" t="s">
        <v>685</v>
      </c>
      <c r="K49" s="691" t="s">
        <v>686</v>
      </c>
      <c r="L49" s="692">
        <f>3500.7*12*1.338*1.05</f>
        <v>59017.601159999998</v>
      </c>
      <c r="M49" s="690" t="s">
        <v>467</v>
      </c>
      <c r="N49" s="693"/>
      <c r="O49" s="691" t="s">
        <v>687</v>
      </c>
      <c r="P49" s="694">
        <v>1</v>
      </c>
      <c r="Q49" s="695" t="s">
        <v>688</v>
      </c>
      <c r="R49" s="716">
        <f>3500.7*12*1.338*1.05*1.05</f>
        <v>61968.481218000001</v>
      </c>
      <c r="S49" s="717">
        <f>SUM(R48:R49)</f>
        <v>123936.962436</v>
      </c>
      <c r="T49" s="712">
        <f>'kuni 2025 detsember tegevuskava'!AD57</f>
        <v>123936.75</v>
      </c>
      <c r="U49" s="234" t="s">
        <v>716</v>
      </c>
    </row>
    <row r="50" spans="1:21" s="234" customFormat="1" x14ac:dyDescent="0.35">
      <c r="A50" s="711" t="s">
        <v>234</v>
      </c>
      <c r="B50" s="688" t="s">
        <v>605</v>
      </c>
      <c r="C50" s="689">
        <v>3</v>
      </c>
      <c r="D50" s="687"/>
      <c r="E50" s="689"/>
      <c r="F50" s="689" t="s">
        <v>563</v>
      </c>
      <c r="G50" s="689"/>
      <c r="H50" s="689"/>
      <c r="I50" s="689"/>
      <c r="J50" s="690" t="s">
        <v>467</v>
      </c>
      <c r="K50" s="691" t="s">
        <v>690</v>
      </c>
      <c r="L50" s="692">
        <v>45457</v>
      </c>
      <c r="M50" s="690" t="s">
        <v>467</v>
      </c>
      <c r="N50" s="693"/>
      <c r="O50" s="691" t="s">
        <v>687</v>
      </c>
      <c r="P50" s="694">
        <v>1</v>
      </c>
      <c r="Q50" s="695" t="s">
        <v>688</v>
      </c>
      <c r="R50" s="696">
        <f t="shared" si="8"/>
        <v>45457</v>
      </c>
      <c r="T50" s="712"/>
    </row>
    <row r="51" spans="1:21" s="234" customFormat="1" x14ac:dyDescent="0.35">
      <c r="A51" s="711" t="s">
        <v>234</v>
      </c>
      <c r="B51" s="688" t="s">
        <v>605</v>
      </c>
      <c r="C51" s="689">
        <v>3</v>
      </c>
      <c r="D51" s="687"/>
      <c r="E51" s="689"/>
      <c r="F51" s="689" t="s">
        <v>563</v>
      </c>
      <c r="G51" s="689"/>
      <c r="H51" s="689"/>
      <c r="I51" s="689"/>
      <c r="J51" s="690" t="s">
        <v>467</v>
      </c>
      <c r="K51" s="691" t="s">
        <v>690</v>
      </c>
      <c r="L51" s="692">
        <v>45457</v>
      </c>
      <c r="M51" s="690" t="s">
        <v>467</v>
      </c>
      <c r="N51" s="693"/>
      <c r="O51" s="691" t="s">
        <v>687</v>
      </c>
      <c r="P51" s="694">
        <v>1</v>
      </c>
      <c r="Q51" s="695" t="s">
        <v>688</v>
      </c>
      <c r="R51" s="696">
        <f t="shared" si="8"/>
        <v>45457</v>
      </c>
      <c r="T51" s="712"/>
    </row>
    <row r="52" spans="1:21" s="234" customFormat="1" x14ac:dyDescent="0.35">
      <c r="A52" s="711" t="s">
        <v>234</v>
      </c>
      <c r="B52" t="s">
        <v>614</v>
      </c>
      <c r="C52" s="689">
        <v>3</v>
      </c>
      <c r="D52" s="687"/>
      <c r="E52" s="689"/>
      <c r="F52" s="689"/>
      <c r="G52" s="689"/>
      <c r="H52" s="689"/>
      <c r="I52" s="689"/>
      <c r="J52" s="690" t="s">
        <v>685</v>
      </c>
      <c r="K52" s="691" t="s">
        <v>686</v>
      </c>
      <c r="L52" s="692">
        <v>59258</v>
      </c>
      <c r="M52" s="690" t="s">
        <v>467</v>
      </c>
      <c r="N52" s="693"/>
      <c r="O52" s="691" t="s">
        <v>687</v>
      </c>
      <c r="P52" s="694">
        <v>1</v>
      </c>
      <c r="Q52" s="695" t="s">
        <v>688</v>
      </c>
      <c r="R52" s="696">
        <f t="shared" si="8"/>
        <v>59258</v>
      </c>
      <c r="T52" s="712"/>
    </row>
    <row r="53" spans="1:21" s="234" customFormat="1" x14ac:dyDescent="0.35">
      <c r="A53" s="711" t="s">
        <v>234</v>
      </c>
      <c r="B53" s="688" t="s">
        <v>613</v>
      </c>
      <c r="C53" s="689">
        <v>3</v>
      </c>
      <c r="D53" s="687"/>
      <c r="E53" s="689"/>
      <c r="F53" s="689"/>
      <c r="G53" s="689"/>
      <c r="H53" s="689"/>
      <c r="I53" s="689"/>
      <c r="J53" s="690" t="s">
        <v>685</v>
      </c>
      <c r="K53" s="691" t="s">
        <v>686</v>
      </c>
      <c r="L53" s="692">
        <v>85016</v>
      </c>
      <c r="M53" s="690" t="s">
        <v>467</v>
      </c>
      <c r="N53" s="693"/>
      <c r="O53" s="691" t="s">
        <v>687</v>
      </c>
      <c r="P53" s="694">
        <v>1</v>
      </c>
      <c r="Q53" s="695" t="s">
        <v>688</v>
      </c>
      <c r="R53" s="696">
        <f t="shared" si="8"/>
        <v>85016</v>
      </c>
      <c r="T53" s="712"/>
    </row>
    <row r="54" spans="1:21" s="234" customFormat="1" x14ac:dyDescent="0.35">
      <c r="A54" s="711" t="s">
        <v>234</v>
      </c>
      <c r="B54" s="688" t="s">
        <v>610</v>
      </c>
      <c r="C54" s="689">
        <v>3</v>
      </c>
      <c r="D54" s="687"/>
      <c r="E54" s="689"/>
      <c r="F54" s="689"/>
      <c r="G54" s="689"/>
      <c r="H54" s="689"/>
      <c r="I54" s="689"/>
      <c r="J54" s="690" t="s">
        <v>685</v>
      </c>
      <c r="K54" s="691" t="s">
        <v>686</v>
      </c>
      <c r="L54" s="692">
        <v>60637</v>
      </c>
      <c r="M54" s="690" t="s">
        <v>467</v>
      </c>
      <c r="N54" s="693"/>
      <c r="O54" s="691" t="s">
        <v>687</v>
      </c>
      <c r="P54" s="694">
        <v>1</v>
      </c>
      <c r="Q54" s="695" t="s">
        <v>688</v>
      </c>
      <c r="R54" s="696">
        <f t="shared" si="8"/>
        <v>60637</v>
      </c>
      <c r="T54" s="712">
        <f>T55-S55</f>
        <v>0</v>
      </c>
    </row>
    <row r="55" spans="1:21" s="234" customFormat="1" x14ac:dyDescent="0.35">
      <c r="A55" s="711" t="s">
        <v>234</v>
      </c>
      <c r="B55" s="594" t="s">
        <v>612</v>
      </c>
      <c r="C55" s="689">
        <v>4</v>
      </c>
      <c r="D55" s="687" t="s">
        <v>655</v>
      </c>
      <c r="E55" s="689"/>
      <c r="F55" s="689"/>
      <c r="G55" s="689"/>
      <c r="H55" s="689"/>
      <c r="I55" s="689"/>
      <c r="J55" s="690" t="s">
        <v>685</v>
      </c>
      <c r="K55" s="691" t="s">
        <v>686</v>
      </c>
      <c r="L55" s="692">
        <v>64296</v>
      </c>
      <c r="M55" s="690" t="s">
        <v>467</v>
      </c>
      <c r="N55" s="693"/>
      <c r="O55" s="691" t="s">
        <v>687</v>
      </c>
      <c r="P55" s="694">
        <v>1</v>
      </c>
      <c r="Q55" s="695" t="s">
        <v>688</v>
      </c>
      <c r="R55" s="696">
        <f t="shared" si="8"/>
        <v>64296</v>
      </c>
      <c r="S55" s="712">
        <f>SUM(R50:R55)</f>
        <v>360121</v>
      </c>
      <c r="T55" s="712">
        <f>'kuni 2025 detsember tegevuskava'!AD63</f>
        <v>360121</v>
      </c>
    </row>
    <row r="56" spans="1:21" x14ac:dyDescent="0.35">
      <c r="R56" s="696">
        <f>SUM(R6:R55)</f>
        <v>1043391.312436</v>
      </c>
    </row>
    <row r="57" spans="1:21" s="1" customFormat="1" x14ac:dyDescent="0.35">
      <c r="K57" s="401"/>
      <c r="Q57" s="524"/>
    </row>
    <row r="58" spans="1:21" x14ac:dyDescent="0.35">
      <c r="K58" s="402"/>
      <c r="Q58" s="524"/>
    </row>
    <row r="59" spans="1:21" hidden="1" x14ac:dyDescent="0.35">
      <c r="B59" s="403" t="s">
        <v>620</v>
      </c>
      <c r="C59">
        <v>1</v>
      </c>
      <c r="D59" t="s">
        <v>621</v>
      </c>
      <c r="J59" t="s">
        <v>685</v>
      </c>
      <c r="K59" s="402"/>
      <c r="L59" t="s">
        <v>690</v>
      </c>
      <c r="M59" t="s">
        <v>685</v>
      </c>
      <c r="O59" t="s">
        <v>687</v>
      </c>
      <c r="Q59" s="524"/>
    </row>
    <row r="60" spans="1:21" hidden="1" x14ac:dyDescent="0.35">
      <c r="B60" s="403" t="s">
        <v>622</v>
      </c>
      <c r="C60">
        <v>2</v>
      </c>
      <c r="D60" t="s">
        <v>623</v>
      </c>
      <c r="J60" t="s">
        <v>467</v>
      </c>
      <c r="K60" s="402"/>
      <c r="M60" t="s">
        <v>467</v>
      </c>
      <c r="Q60" s="524"/>
    </row>
    <row r="61" spans="1:21" hidden="1" x14ac:dyDescent="0.35">
      <c r="B61" s="403" t="s">
        <v>624</v>
      </c>
      <c r="C61">
        <v>3</v>
      </c>
      <c r="D61" t="s">
        <v>625</v>
      </c>
      <c r="K61" t="s">
        <v>692</v>
      </c>
      <c r="Q61" s="523"/>
    </row>
    <row r="62" spans="1:21" hidden="1" x14ac:dyDescent="0.35">
      <c r="B62" s="403" t="s">
        <v>626</v>
      </c>
      <c r="C62">
        <v>4</v>
      </c>
      <c r="D62" t="s">
        <v>627</v>
      </c>
      <c r="Q62" s="522"/>
    </row>
    <row r="63" spans="1:21" hidden="1" x14ac:dyDescent="0.35">
      <c r="B63" s="403" t="s">
        <v>628</v>
      </c>
      <c r="D63" t="s">
        <v>629</v>
      </c>
      <c r="Q63" s="522"/>
    </row>
    <row r="64" spans="1:21" hidden="1" x14ac:dyDescent="0.35">
      <c r="B64" s="403" t="s">
        <v>630</v>
      </c>
      <c r="D64" t="s">
        <v>631</v>
      </c>
      <c r="K64" t="s">
        <v>693</v>
      </c>
      <c r="Q64" s="522"/>
    </row>
    <row r="65" spans="2:17" hidden="1" x14ac:dyDescent="0.35">
      <c r="B65" s="403" t="s">
        <v>632</v>
      </c>
      <c r="D65" t="s">
        <v>633</v>
      </c>
      <c r="Q65" s="522"/>
    </row>
    <row r="66" spans="2:17" hidden="1" x14ac:dyDescent="0.35">
      <c r="B66" s="403" t="s">
        <v>634</v>
      </c>
      <c r="D66" t="s">
        <v>635</v>
      </c>
      <c r="Q66" s="522"/>
    </row>
    <row r="67" spans="2:17" hidden="1" x14ac:dyDescent="0.35">
      <c r="B67" s="403" t="s">
        <v>636</v>
      </c>
      <c r="D67" t="s">
        <v>637</v>
      </c>
      <c r="Q67" s="522"/>
    </row>
    <row r="68" spans="2:17" hidden="1" x14ac:dyDescent="0.35">
      <c r="B68" s="403" t="s">
        <v>638</v>
      </c>
      <c r="D68" t="s">
        <v>639</v>
      </c>
      <c r="Q68" s="522"/>
    </row>
    <row r="69" spans="2:17" hidden="1" x14ac:dyDescent="0.35">
      <c r="B69" s="403" t="s">
        <v>640</v>
      </c>
      <c r="D69" t="s">
        <v>641</v>
      </c>
      <c r="Q69" s="522"/>
    </row>
    <row r="70" spans="2:17" hidden="1" x14ac:dyDescent="0.35">
      <c r="B70" s="19"/>
      <c r="D70" t="s">
        <v>642</v>
      </c>
      <c r="Q70" s="522"/>
    </row>
    <row r="71" spans="2:17" hidden="1" x14ac:dyDescent="0.35">
      <c r="B71" s="19"/>
      <c r="D71" t="s">
        <v>643</v>
      </c>
      <c r="Q71" s="522"/>
    </row>
    <row r="72" spans="2:17" hidden="1" x14ac:dyDescent="0.35">
      <c r="D72" t="s">
        <v>644</v>
      </c>
      <c r="Q72" s="522"/>
    </row>
    <row r="73" spans="2:17" hidden="1" x14ac:dyDescent="0.35">
      <c r="D73" t="s">
        <v>645</v>
      </c>
      <c r="Q73" s="522"/>
    </row>
    <row r="74" spans="2:17" hidden="1" x14ac:dyDescent="0.35">
      <c r="D74" t="s">
        <v>646</v>
      </c>
      <c r="Q74" s="522"/>
    </row>
    <row r="75" spans="2:17" hidden="1" x14ac:dyDescent="0.35">
      <c r="D75" t="s">
        <v>647</v>
      </c>
      <c r="Q75" s="522"/>
    </row>
    <row r="76" spans="2:17" hidden="1" x14ac:dyDescent="0.35">
      <c r="D76" t="s">
        <v>648</v>
      </c>
      <c r="Q76" s="522"/>
    </row>
    <row r="77" spans="2:17" hidden="1" x14ac:dyDescent="0.35">
      <c r="D77" t="s">
        <v>649</v>
      </c>
      <c r="Q77" s="522"/>
    </row>
    <row r="78" spans="2:17" hidden="1" x14ac:dyDescent="0.35">
      <c r="D78" t="s">
        <v>650</v>
      </c>
      <c r="Q78" s="522"/>
    </row>
    <row r="79" spans="2:17" hidden="1" x14ac:dyDescent="0.35">
      <c r="D79" t="s">
        <v>651</v>
      </c>
      <c r="Q79" s="522"/>
    </row>
    <row r="80" spans="2:17" hidden="1" x14ac:dyDescent="0.35">
      <c r="D80" t="s">
        <v>652</v>
      </c>
      <c r="Q80" s="522"/>
    </row>
    <row r="81" spans="1:18" hidden="1" x14ac:dyDescent="0.35">
      <c r="D81" t="s">
        <v>653</v>
      </c>
      <c r="Q81" s="522"/>
    </row>
    <row r="82" spans="1:18" hidden="1" x14ac:dyDescent="0.35">
      <c r="D82" t="s">
        <v>654</v>
      </c>
      <c r="Q82" s="522"/>
    </row>
    <row r="83" spans="1:18" hidden="1" x14ac:dyDescent="0.35">
      <c r="D83" t="s">
        <v>655</v>
      </c>
      <c r="Q83" s="522"/>
    </row>
    <row r="84" spans="1:18" x14ac:dyDescent="0.35">
      <c r="Q84" s="522"/>
    </row>
    <row r="85" spans="1:18" x14ac:dyDescent="0.35">
      <c r="A85" t="s">
        <v>694</v>
      </c>
    </row>
    <row r="86" spans="1:18" s="399" customFormat="1" ht="87" x14ac:dyDescent="0.35">
      <c r="A86" s="398" t="s">
        <v>659</v>
      </c>
      <c r="B86" s="398" t="s">
        <v>660</v>
      </c>
      <c r="C86" s="398" t="s">
        <v>660</v>
      </c>
      <c r="D86" s="398" t="s">
        <v>661</v>
      </c>
      <c r="E86" s="678" t="s">
        <v>662</v>
      </c>
      <c r="F86" s="679"/>
      <c r="G86" s="679"/>
      <c r="H86" s="679"/>
      <c r="I86" s="680"/>
      <c r="J86" s="398" t="s">
        <v>663</v>
      </c>
      <c r="K86" s="398" t="s">
        <v>664</v>
      </c>
      <c r="L86" s="398" t="s">
        <v>665</v>
      </c>
      <c r="M86" s="398" t="s">
        <v>666</v>
      </c>
      <c r="N86" s="398" t="s">
        <v>667</v>
      </c>
      <c r="O86" s="398" t="s">
        <v>668</v>
      </c>
      <c r="P86" s="398" t="s">
        <v>669</v>
      </c>
      <c r="Q86" s="521" t="s">
        <v>670</v>
      </c>
    </row>
    <row r="87" spans="1:18" ht="34.4" customHeight="1" x14ac:dyDescent="0.35">
      <c r="A87" s="671" t="s">
        <v>671</v>
      </c>
      <c r="B87" s="671" t="s">
        <v>672</v>
      </c>
      <c r="C87" s="671" t="s">
        <v>673</v>
      </c>
      <c r="D87" s="671" t="s">
        <v>674</v>
      </c>
      <c r="E87" s="682" t="s">
        <v>675</v>
      </c>
      <c r="F87" s="679"/>
      <c r="G87" s="679"/>
      <c r="H87" s="679"/>
      <c r="I87" s="680"/>
      <c r="J87" s="671" t="s">
        <v>676</v>
      </c>
      <c r="K87" s="671" t="s">
        <v>677</v>
      </c>
      <c r="L87" s="675" t="s">
        <v>678</v>
      </c>
      <c r="M87" s="675" t="s">
        <v>679</v>
      </c>
      <c r="N87" s="675" t="s">
        <v>680</v>
      </c>
      <c r="O87" s="671" t="s">
        <v>681</v>
      </c>
      <c r="P87" s="671" t="s">
        <v>682</v>
      </c>
      <c r="Q87" s="673" t="s">
        <v>683</v>
      </c>
    </row>
    <row r="88" spans="1:18" ht="27.65" customHeight="1" x14ac:dyDescent="0.35">
      <c r="A88" s="681"/>
      <c r="B88" s="672"/>
      <c r="C88" s="681"/>
      <c r="D88" s="681"/>
      <c r="E88" s="400">
        <v>2023</v>
      </c>
      <c r="F88" s="400">
        <v>2024</v>
      </c>
      <c r="G88" s="400">
        <v>2025</v>
      </c>
      <c r="H88" s="400">
        <v>2026</v>
      </c>
      <c r="I88" s="400">
        <v>2027</v>
      </c>
      <c r="J88" s="672"/>
      <c r="K88" s="672"/>
      <c r="L88" s="676"/>
      <c r="M88" s="676"/>
      <c r="N88" s="677"/>
      <c r="O88" s="672"/>
      <c r="P88" s="672"/>
      <c r="Q88" s="674"/>
    </row>
    <row r="89" spans="1:18" s="577" customFormat="1" x14ac:dyDescent="0.35">
      <c r="A89" s="584" t="s">
        <v>199</v>
      </c>
      <c r="B89" s="578" t="s">
        <v>638</v>
      </c>
      <c r="C89" s="586">
        <v>4</v>
      </c>
      <c r="D89" s="578"/>
      <c r="E89" s="579"/>
      <c r="F89" s="579"/>
      <c r="G89" s="579"/>
      <c r="H89" s="579"/>
      <c r="I89" s="579"/>
      <c r="J89" s="579" t="s">
        <v>685</v>
      </c>
      <c r="K89" s="579" t="s">
        <v>686</v>
      </c>
      <c r="L89" s="581">
        <f>2690*13*1.338*1.07*1.05</f>
        <v>52568.407710000007</v>
      </c>
      <c r="M89" s="585" t="s">
        <v>467</v>
      </c>
      <c r="N89" s="578"/>
      <c r="O89" s="579" t="s">
        <v>687</v>
      </c>
      <c r="P89" s="586">
        <v>1</v>
      </c>
      <c r="Q89" s="586" t="s">
        <v>695</v>
      </c>
      <c r="R89" s="576"/>
    </row>
    <row r="90" spans="1:18" s="577" customFormat="1" x14ac:dyDescent="0.35">
      <c r="A90" s="584" t="s">
        <v>199</v>
      </c>
      <c r="B90" s="578" t="s">
        <v>638</v>
      </c>
      <c r="C90" s="586">
        <v>4</v>
      </c>
      <c r="D90" s="578"/>
      <c r="E90" s="579"/>
      <c r="F90" s="579" t="s">
        <v>563</v>
      </c>
      <c r="G90" s="579"/>
      <c r="H90" s="579"/>
      <c r="I90" s="579"/>
      <c r="J90" s="579" t="s">
        <v>467</v>
      </c>
      <c r="K90" s="579" t="s">
        <v>690</v>
      </c>
      <c r="L90" s="581">
        <f>2690*13*1.338*1.07*1.05</f>
        <v>52568.407710000007</v>
      </c>
      <c r="M90" s="585" t="s">
        <v>467</v>
      </c>
      <c r="N90" s="578"/>
      <c r="O90" s="579" t="s">
        <v>687</v>
      </c>
      <c r="P90" s="586">
        <v>1</v>
      </c>
      <c r="Q90" s="586" t="s">
        <v>695</v>
      </c>
      <c r="R90" s="576"/>
    </row>
    <row r="91" spans="1:18" s="577" customFormat="1" x14ac:dyDescent="0.35">
      <c r="A91" s="584" t="s">
        <v>199</v>
      </c>
      <c r="B91" s="578" t="s">
        <v>630</v>
      </c>
      <c r="C91" s="586">
        <v>2</v>
      </c>
      <c r="D91" s="578"/>
      <c r="E91" s="579"/>
      <c r="F91" s="579"/>
      <c r="G91" s="579"/>
      <c r="H91" s="579"/>
      <c r="I91" s="579"/>
      <c r="J91" s="579" t="s">
        <v>685</v>
      </c>
      <c r="K91" s="579" t="s">
        <v>686</v>
      </c>
      <c r="L91" s="581">
        <f>2781*13*1.338*1.07*1.05</f>
        <v>54346.744179000008</v>
      </c>
      <c r="M91" s="585" t="s">
        <v>467</v>
      </c>
      <c r="N91" s="578"/>
      <c r="O91" s="579" t="s">
        <v>687</v>
      </c>
      <c r="P91" s="586">
        <v>1</v>
      </c>
      <c r="Q91" s="586" t="s">
        <v>695</v>
      </c>
      <c r="R91" s="576"/>
    </row>
    <row r="92" spans="1:18" s="577" customFormat="1" x14ac:dyDescent="0.35">
      <c r="A92" s="584" t="s">
        <v>199</v>
      </c>
      <c r="B92" s="572" t="s">
        <v>632</v>
      </c>
      <c r="C92" s="591">
        <v>4</v>
      </c>
      <c r="D92" s="574" t="s">
        <v>655</v>
      </c>
      <c r="E92" s="575"/>
      <c r="F92" s="575"/>
      <c r="G92" s="575"/>
      <c r="H92" s="575"/>
      <c r="I92" s="575"/>
      <c r="J92" s="579" t="s">
        <v>685</v>
      </c>
      <c r="K92" s="579" t="s">
        <v>686</v>
      </c>
      <c r="L92" s="581">
        <f t="shared" ref="L92:L93" si="9">13*4300*1.338*1.07*1.05</f>
        <v>84031.283700000029</v>
      </c>
      <c r="M92" s="573" t="s">
        <v>467</v>
      </c>
      <c r="N92" s="574"/>
      <c r="O92" s="579" t="s">
        <v>687</v>
      </c>
      <c r="P92" s="586">
        <v>1</v>
      </c>
      <c r="Q92" s="586" t="s">
        <v>695</v>
      </c>
      <c r="R92" s="576"/>
    </row>
    <row r="93" spans="1:18" s="577" customFormat="1" x14ac:dyDescent="0.35">
      <c r="A93" s="584" t="s">
        <v>199</v>
      </c>
      <c r="B93" s="572" t="s">
        <v>632</v>
      </c>
      <c r="C93" s="591">
        <v>4</v>
      </c>
      <c r="D93" s="574" t="s">
        <v>655</v>
      </c>
      <c r="E93" s="575"/>
      <c r="F93" s="575"/>
      <c r="G93" s="575"/>
      <c r="H93" s="575"/>
      <c r="I93" s="575"/>
      <c r="J93" s="579" t="s">
        <v>685</v>
      </c>
      <c r="K93" s="579" t="s">
        <v>686</v>
      </c>
      <c r="L93" s="581">
        <f t="shared" si="9"/>
        <v>84031.283700000029</v>
      </c>
      <c r="M93" s="573" t="s">
        <v>467</v>
      </c>
      <c r="N93" s="574"/>
      <c r="O93" s="579" t="s">
        <v>687</v>
      </c>
      <c r="P93" s="586">
        <v>1</v>
      </c>
      <c r="Q93" s="586" t="s">
        <v>695</v>
      </c>
      <c r="R93" s="576"/>
    </row>
    <row r="94" spans="1:18" s="577" customFormat="1" x14ac:dyDescent="0.35">
      <c r="A94" s="584" t="s">
        <v>199</v>
      </c>
      <c r="B94" s="589" t="s">
        <v>640</v>
      </c>
      <c r="C94" s="579">
        <v>2</v>
      </c>
      <c r="D94" s="578"/>
      <c r="E94" s="579"/>
      <c r="F94" s="579"/>
      <c r="G94" s="579"/>
      <c r="H94" s="579"/>
      <c r="I94" s="579"/>
      <c r="J94" s="579" t="s">
        <v>685</v>
      </c>
      <c r="K94" s="579" t="s">
        <v>686</v>
      </c>
      <c r="L94" s="581">
        <f>2750*13*1.338*1.07*1.05</f>
        <v>53740.937250000003</v>
      </c>
      <c r="M94" s="585" t="s">
        <v>467</v>
      </c>
      <c r="N94" s="578"/>
      <c r="O94" s="579" t="s">
        <v>687</v>
      </c>
      <c r="P94" s="586">
        <v>1</v>
      </c>
      <c r="Q94" s="586" t="s">
        <v>695</v>
      </c>
      <c r="R94" s="576"/>
    </row>
    <row r="95" spans="1:18" s="577" customFormat="1" x14ac:dyDescent="0.35">
      <c r="A95" s="584" t="s">
        <v>199</v>
      </c>
      <c r="B95" s="589" t="s">
        <v>640</v>
      </c>
      <c r="C95" s="579">
        <v>2</v>
      </c>
      <c r="D95" s="578"/>
      <c r="E95" s="579"/>
      <c r="F95" s="579"/>
      <c r="G95" s="579"/>
      <c r="H95" s="579"/>
      <c r="I95" s="579"/>
      <c r="J95" s="579" t="s">
        <v>685</v>
      </c>
      <c r="K95" s="579" t="s">
        <v>686</v>
      </c>
      <c r="L95" s="581">
        <f t="shared" ref="L95:L97" si="10">2750*13*1.338*1.07*1.05</f>
        <v>53740.937250000003</v>
      </c>
      <c r="M95" s="585" t="s">
        <v>467</v>
      </c>
      <c r="N95" s="578"/>
      <c r="O95" s="579" t="s">
        <v>687</v>
      </c>
      <c r="P95" s="586">
        <v>1</v>
      </c>
      <c r="Q95" s="586" t="s">
        <v>695</v>
      </c>
      <c r="R95" s="576"/>
    </row>
    <row r="96" spans="1:18" s="577" customFormat="1" x14ac:dyDescent="0.35">
      <c r="A96" s="584" t="s">
        <v>199</v>
      </c>
      <c r="B96" s="589" t="s">
        <v>640</v>
      </c>
      <c r="C96" s="579">
        <v>2</v>
      </c>
      <c r="D96" s="578"/>
      <c r="E96" s="579"/>
      <c r="F96" s="579"/>
      <c r="G96" s="579"/>
      <c r="H96" s="579"/>
      <c r="I96" s="579"/>
      <c r="J96" s="579" t="s">
        <v>685</v>
      </c>
      <c r="K96" s="579" t="s">
        <v>686</v>
      </c>
      <c r="L96" s="581">
        <f t="shared" si="10"/>
        <v>53740.937250000003</v>
      </c>
      <c r="M96" s="585" t="s">
        <v>467</v>
      </c>
      <c r="N96" s="578"/>
      <c r="O96" s="579" t="s">
        <v>687</v>
      </c>
      <c r="P96" s="586">
        <v>1</v>
      </c>
      <c r="Q96" s="586" t="s">
        <v>695</v>
      </c>
      <c r="R96" s="576"/>
    </row>
    <row r="97" spans="1:18" s="577" customFormat="1" x14ac:dyDescent="0.35">
      <c r="A97" s="584" t="s">
        <v>199</v>
      </c>
      <c r="B97" s="589" t="s">
        <v>640</v>
      </c>
      <c r="C97" s="579">
        <v>2</v>
      </c>
      <c r="D97" s="578"/>
      <c r="E97" s="579"/>
      <c r="F97" s="579"/>
      <c r="G97" s="579"/>
      <c r="H97" s="579"/>
      <c r="I97" s="579"/>
      <c r="J97" s="579" t="s">
        <v>685</v>
      </c>
      <c r="K97" s="579" t="s">
        <v>686</v>
      </c>
      <c r="L97" s="581">
        <f t="shared" si="10"/>
        <v>53740.937250000003</v>
      </c>
      <c r="M97" s="585" t="s">
        <v>467</v>
      </c>
      <c r="N97" s="578"/>
      <c r="O97" s="579" t="s">
        <v>687</v>
      </c>
      <c r="P97" s="586">
        <v>1</v>
      </c>
      <c r="Q97" s="586" t="s">
        <v>695</v>
      </c>
      <c r="R97" s="576"/>
    </row>
    <row r="98" spans="1:18" s="577" customFormat="1" x14ac:dyDescent="0.35">
      <c r="A98" s="584" t="s">
        <v>199</v>
      </c>
      <c r="B98" s="580" t="s">
        <v>632</v>
      </c>
      <c r="C98" s="586">
        <v>1</v>
      </c>
      <c r="D98" s="578"/>
      <c r="E98" s="579"/>
      <c r="F98" s="579"/>
      <c r="G98" s="579"/>
      <c r="H98" s="579"/>
      <c r="I98" s="579"/>
      <c r="J98" s="579" t="s">
        <v>685</v>
      </c>
      <c r="K98" s="579" t="s">
        <v>686</v>
      </c>
      <c r="L98" s="581">
        <f>2240*13*1.338*1.07*1.05</f>
        <v>43774.436160000012</v>
      </c>
      <c r="M98" s="585" t="s">
        <v>467</v>
      </c>
      <c r="N98" s="578"/>
      <c r="O98" s="579" t="s">
        <v>687</v>
      </c>
      <c r="P98" s="586">
        <v>1</v>
      </c>
      <c r="Q98" s="586" t="s">
        <v>695</v>
      </c>
      <c r="R98" s="576"/>
    </row>
    <row r="99" spans="1:18" s="577" customFormat="1" x14ac:dyDescent="0.35">
      <c r="A99" s="584" t="s">
        <v>199</v>
      </c>
      <c r="B99" s="580" t="s">
        <v>632</v>
      </c>
      <c r="C99" s="586">
        <v>1</v>
      </c>
      <c r="D99" s="578"/>
      <c r="E99" s="579"/>
      <c r="F99" s="579"/>
      <c r="G99" s="579"/>
      <c r="H99" s="579"/>
      <c r="I99" s="579"/>
      <c r="J99" s="579" t="s">
        <v>685</v>
      </c>
      <c r="K99" s="579" t="s">
        <v>686</v>
      </c>
      <c r="L99" s="581">
        <f>2240*13*1.338*1.07*1.05</f>
        <v>43774.436160000012</v>
      </c>
      <c r="M99" s="585" t="s">
        <v>467</v>
      </c>
      <c r="N99" s="578"/>
      <c r="O99" s="579" t="s">
        <v>687</v>
      </c>
      <c r="P99" s="586">
        <v>1</v>
      </c>
      <c r="Q99" s="586" t="s">
        <v>695</v>
      </c>
      <c r="R99" s="576"/>
    </row>
    <row r="100" spans="1:18" s="577" customFormat="1" x14ac:dyDescent="0.35">
      <c r="A100" s="584" t="s">
        <v>199</v>
      </c>
      <c r="B100" s="580" t="s">
        <v>632</v>
      </c>
      <c r="C100" s="586">
        <v>1</v>
      </c>
      <c r="D100" s="578"/>
      <c r="E100" s="579"/>
      <c r="F100" s="579"/>
      <c r="G100" s="579"/>
      <c r="H100" s="579"/>
      <c r="I100" s="579"/>
      <c r="J100" s="579" t="s">
        <v>685</v>
      </c>
      <c r="K100" s="579" t="s">
        <v>686</v>
      </c>
      <c r="L100" s="581">
        <f>2240*13*1.338*1.07*1.05</f>
        <v>43774.436160000012</v>
      </c>
      <c r="M100" s="585" t="s">
        <v>467</v>
      </c>
      <c r="N100" s="578"/>
      <c r="O100" s="579" t="s">
        <v>687</v>
      </c>
      <c r="P100" s="586">
        <v>1</v>
      </c>
      <c r="Q100" s="586" t="s">
        <v>695</v>
      </c>
      <c r="R100" s="576"/>
    </row>
    <row r="101" spans="1:18" s="577" customFormat="1" x14ac:dyDescent="0.35">
      <c r="A101" s="584" t="s">
        <v>199</v>
      </c>
      <c r="B101" s="578" t="s">
        <v>634</v>
      </c>
      <c r="C101" s="586">
        <v>2</v>
      </c>
      <c r="D101" s="578"/>
      <c r="E101" s="579"/>
      <c r="F101" s="579"/>
      <c r="G101" s="579"/>
      <c r="H101" s="579"/>
      <c r="I101" s="579"/>
      <c r="J101" s="579" t="s">
        <v>685</v>
      </c>
      <c r="K101" s="579" t="s">
        <v>686</v>
      </c>
      <c r="L101" s="581">
        <f>4147*13*1.338*1.07*1.05</f>
        <v>81041.333373000016</v>
      </c>
      <c r="M101" s="585" t="s">
        <v>467</v>
      </c>
      <c r="N101" s="578"/>
      <c r="O101" s="579" t="s">
        <v>687</v>
      </c>
      <c r="P101" s="586">
        <v>1</v>
      </c>
      <c r="Q101" s="586" t="s">
        <v>695</v>
      </c>
      <c r="R101" s="576"/>
    </row>
    <row r="102" spans="1:18" s="577" customFormat="1" x14ac:dyDescent="0.35">
      <c r="A102" s="584" t="s">
        <v>199</v>
      </c>
      <c r="B102" s="578" t="s">
        <v>634</v>
      </c>
      <c r="C102" s="586">
        <v>3</v>
      </c>
      <c r="D102" s="578"/>
      <c r="E102" s="579"/>
      <c r="F102" s="579" t="s">
        <v>563</v>
      </c>
      <c r="G102" s="579"/>
      <c r="H102" s="579"/>
      <c r="I102" s="579"/>
      <c r="J102" s="579" t="s">
        <v>467</v>
      </c>
      <c r="K102" s="579" t="s">
        <v>690</v>
      </c>
      <c r="L102" s="581">
        <f>4668*13*1.338*1.07*1.05</f>
        <v>91222.798212000023</v>
      </c>
      <c r="M102" s="585" t="s">
        <v>696</v>
      </c>
      <c r="N102" s="590">
        <v>120000</v>
      </c>
      <c r="O102" s="579" t="s">
        <v>687</v>
      </c>
      <c r="P102" s="587">
        <v>1</v>
      </c>
      <c r="Q102" s="586" t="s">
        <v>695</v>
      </c>
      <c r="R102" s="576"/>
    </row>
    <row r="103" spans="1:18" s="577" customFormat="1" x14ac:dyDescent="0.35">
      <c r="A103" s="584" t="s">
        <v>199</v>
      </c>
      <c r="B103" s="578" t="s">
        <v>634</v>
      </c>
      <c r="C103" s="586">
        <v>4</v>
      </c>
      <c r="D103" s="578"/>
      <c r="E103" s="579"/>
      <c r="F103" s="579"/>
      <c r="G103" s="579"/>
      <c r="H103" s="579"/>
      <c r="I103" s="579"/>
      <c r="J103" s="579" t="s">
        <v>685</v>
      </c>
      <c r="K103" s="579" t="s">
        <v>686</v>
      </c>
      <c r="L103" s="581">
        <f>7000*13*1.338</f>
        <v>121758</v>
      </c>
      <c r="M103" s="585" t="s">
        <v>467</v>
      </c>
      <c r="N103" s="578"/>
      <c r="O103" s="579" t="s">
        <v>687</v>
      </c>
      <c r="P103" s="587">
        <v>1</v>
      </c>
      <c r="Q103" s="586" t="s">
        <v>695</v>
      </c>
      <c r="R103" s="576"/>
    </row>
    <row r="104" spans="1:18" s="577" customFormat="1" x14ac:dyDescent="0.35">
      <c r="A104" s="584" t="s">
        <v>199</v>
      </c>
      <c r="B104" s="578" t="s">
        <v>628</v>
      </c>
      <c r="C104" s="586">
        <v>2</v>
      </c>
      <c r="D104" s="578"/>
      <c r="E104" s="579"/>
      <c r="F104" s="579"/>
      <c r="G104" s="579"/>
      <c r="H104" s="579"/>
      <c r="I104" s="579"/>
      <c r="J104" s="579" t="s">
        <v>685</v>
      </c>
      <c r="K104" s="579" t="s">
        <v>686</v>
      </c>
      <c r="L104" s="581">
        <f>2741*13*1.338*1.07*1.05</f>
        <v>53565.057819000009</v>
      </c>
      <c r="M104" s="585" t="s">
        <v>467</v>
      </c>
      <c r="N104" s="578"/>
      <c r="O104" s="579" t="s">
        <v>687</v>
      </c>
      <c r="P104" s="586">
        <v>1</v>
      </c>
      <c r="Q104" s="586" t="s">
        <v>695</v>
      </c>
      <c r="R104" s="576"/>
    </row>
    <row r="105" spans="1:18" s="577" customFormat="1" x14ac:dyDescent="0.35">
      <c r="A105" s="584" t="s">
        <v>199</v>
      </c>
      <c r="B105" s="578" t="s">
        <v>628</v>
      </c>
      <c r="C105" s="586">
        <v>2</v>
      </c>
      <c r="D105" s="578"/>
      <c r="E105" s="579"/>
      <c r="F105" s="579"/>
      <c r="G105" s="579"/>
      <c r="H105" s="579"/>
      <c r="I105" s="579"/>
      <c r="J105" s="579" t="s">
        <v>685</v>
      </c>
      <c r="K105" s="579" t="s">
        <v>686</v>
      </c>
      <c r="L105" s="581">
        <f t="shared" ref="L105:L113" si="11">2741*13*1.338*1.07*1.05</f>
        <v>53565.057819000009</v>
      </c>
      <c r="M105" s="585" t="s">
        <v>467</v>
      </c>
      <c r="N105" s="578"/>
      <c r="O105" s="579" t="s">
        <v>687</v>
      </c>
      <c r="P105" s="586">
        <v>1</v>
      </c>
      <c r="Q105" s="586" t="s">
        <v>695</v>
      </c>
      <c r="R105" s="576"/>
    </row>
    <row r="106" spans="1:18" s="577" customFormat="1" x14ac:dyDescent="0.35">
      <c r="A106" s="584" t="s">
        <v>199</v>
      </c>
      <c r="B106" s="578" t="s">
        <v>628</v>
      </c>
      <c r="C106" s="586">
        <v>2</v>
      </c>
      <c r="D106" s="578"/>
      <c r="E106" s="579"/>
      <c r="F106" s="579"/>
      <c r="G106" s="579"/>
      <c r="H106" s="579"/>
      <c r="I106" s="579"/>
      <c r="J106" s="579" t="s">
        <v>685</v>
      </c>
      <c r="K106" s="579" t="s">
        <v>686</v>
      </c>
      <c r="L106" s="581">
        <f t="shared" si="11"/>
        <v>53565.057819000009</v>
      </c>
      <c r="M106" s="585" t="s">
        <v>467</v>
      </c>
      <c r="N106" s="578"/>
      <c r="O106" s="579" t="s">
        <v>687</v>
      </c>
      <c r="P106" s="586">
        <v>1</v>
      </c>
      <c r="Q106" s="586" t="s">
        <v>695</v>
      </c>
      <c r="R106" s="576"/>
    </row>
    <row r="107" spans="1:18" s="577" customFormat="1" x14ac:dyDescent="0.35">
      <c r="A107" s="584" t="s">
        <v>199</v>
      </c>
      <c r="B107" s="578" t="s">
        <v>628</v>
      </c>
      <c r="C107" s="586">
        <v>2</v>
      </c>
      <c r="D107" s="578"/>
      <c r="E107" s="579"/>
      <c r="F107" s="579" t="s">
        <v>563</v>
      </c>
      <c r="G107" s="579"/>
      <c r="H107" s="579"/>
      <c r="I107" s="579"/>
      <c r="J107" s="579" t="s">
        <v>467</v>
      </c>
      <c r="K107" s="579" t="s">
        <v>690</v>
      </c>
      <c r="L107" s="581">
        <f t="shared" si="11"/>
        <v>53565.057819000009</v>
      </c>
      <c r="M107" s="585" t="s">
        <v>467</v>
      </c>
      <c r="N107" s="578"/>
      <c r="O107" s="579" t="s">
        <v>687</v>
      </c>
      <c r="P107" s="586">
        <v>1</v>
      </c>
      <c r="Q107" s="586" t="s">
        <v>695</v>
      </c>
      <c r="R107" s="576"/>
    </row>
    <row r="108" spans="1:18" s="577" customFormat="1" x14ac:dyDescent="0.35">
      <c r="A108" s="584" t="s">
        <v>240</v>
      </c>
      <c r="B108" s="578" t="s">
        <v>630</v>
      </c>
      <c r="C108" s="586">
        <v>2</v>
      </c>
      <c r="D108" s="578"/>
      <c r="E108" s="579"/>
      <c r="F108" s="579"/>
      <c r="G108" s="579"/>
      <c r="H108" s="579"/>
      <c r="I108" s="579"/>
      <c r="J108" s="579" t="s">
        <v>685</v>
      </c>
      <c r="K108" s="579" t="s">
        <v>686</v>
      </c>
      <c r="L108" s="581">
        <f>2781*13*1.338*1.07*1.05</f>
        <v>54346.744179000008</v>
      </c>
      <c r="M108" s="585" t="s">
        <v>467</v>
      </c>
      <c r="N108" s="578"/>
      <c r="O108" s="579" t="s">
        <v>687</v>
      </c>
      <c r="P108" s="586" t="s">
        <v>697</v>
      </c>
      <c r="Q108" s="586" t="s">
        <v>695</v>
      </c>
      <c r="R108" s="576"/>
    </row>
    <row r="109" spans="1:18" s="577" customFormat="1" x14ac:dyDescent="0.35">
      <c r="A109" s="584" t="s">
        <v>240</v>
      </c>
      <c r="B109" s="578" t="s">
        <v>634</v>
      </c>
      <c r="C109" s="586">
        <v>2</v>
      </c>
      <c r="D109" s="578"/>
      <c r="E109" s="579"/>
      <c r="F109" s="579"/>
      <c r="G109" s="579"/>
      <c r="H109" s="579"/>
      <c r="I109" s="579"/>
      <c r="J109" s="579" t="s">
        <v>685</v>
      </c>
      <c r="K109" s="579" t="s">
        <v>686</v>
      </c>
      <c r="L109" s="581">
        <f>4147*13*1.338*1.07*1.05</f>
        <v>81041.333373000016</v>
      </c>
      <c r="M109" s="585" t="s">
        <v>467</v>
      </c>
      <c r="N109" s="578"/>
      <c r="O109" s="579" t="s">
        <v>687</v>
      </c>
      <c r="P109" s="586" t="s">
        <v>697</v>
      </c>
      <c r="Q109" s="586" t="s">
        <v>695</v>
      </c>
      <c r="R109" s="576"/>
    </row>
    <row r="110" spans="1:18" s="577" customFormat="1" x14ac:dyDescent="0.35">
      <c r="A110" s="584" t="s">
        <v>240</v>
      </c>
      <c r="B110" s="580" t="s">
        <v>632</v>
      </c>
      <c r="C110" s="586">
        <v>1</v>
      </c>
      <c r="D110" s="578"/>
      <c r="E110" s="579"/>
      <c r="F110" s="579"/>
      <c r="G110" s="579"/>
      <c r="H110" s="579"/>
      <c r="I110" s="579"/>
      <c r="J110" s="579" t="s">
        <v>685</v>
      </c>
      <c r="K110" s="579" t="s">
        <v>686</v>
      </c>
      <c r="L110" s="581">
        <f t="shared" ref="L110" si="12">13*4300*1.338*1.07*1.05</f>
        <v>84031.283700000029</v>
      </c>
      <c r="M110" s="585" t="s">
        <v>467</v>
      </c>
      <c r="N110" s="578"/>
      <c r="O110" s="579" t="s">
        <v>687</v>
      </c>
      <c r="P110" s="586" t="s">
        <v>697</v>
      </c>
      <c r="Q110" s="586" t="s">
        <v>695</v>
      </c>
      <c r="R110" s="576"/>
    </row>
    <row r="111" spans="1:18" s="577" customFormat="1" x14ac:dyDescent="0.35">
      <c r="A111" s="584" t="s">
        <v>240</v>
      </c>
      <c r="B111" s="580" t="s">
        <v>684</v>
      </c>
      <c r="C111" s="586">
        <v>2</v>
      </c>
      <c r="D111" s="578"/>
      <c r="E111" s="579"/>
      <c r="F111" s="579"/>
      <c r="G111" s="579"/>
      <c r="H111" s="579"/>
      <c r="I111" s="579"/>
      <c r="J111" s="579" t="s">
        <v>685</v>
      </c>
      <c r="K111" s="579" t="s">
        <v>686</v>
      </c>
      <c r="L111" s="581">
        <f>2216*13*1.338*1.07*1.05</f>
        <v>43305.424343999999</v>
      </c>
      <c r="M111" s="585" t="s">
        <v>467</v>
      </c>
      <c r="N111" s="578"/>
      <c r="O111" s="579" t="s">
        <v>687</v>
      </c>
      <c r="P111" s="586" t="s">
        <v>697</v>
      </c>
      <c r="Q111" s="586" t="s">
        <v>695</v>
      </c>
      <c r="R111" s="576"/>
    </row>
    <row r="112" spans="1:18" s="577" customFormat="1" x14ac:dyDescent="0.35">
      <c r="A112" s="584" t="s">
        <v>240</v>
      </c>
      <c r="B112" s="578" t="s">
        <v>628</v>
      </c>
      <c r="C112" s="586">
        <v>2</v>
      </c>
      <c r="D112" s="578"/>
      <c r="E112" s="579"/>
      <c r="F112" s="579"/>
      <c r="G112" s="579"/>
      <c r="H112" s="579"/>
      <c r="I112" s="579"/>
      <c r="J112" s="579" t="s">
        <v>685</v>
      </c>
      <c r="K112" s="579" t="s">
        <v>686</v>
      </c>
      <c r="L112" s="581">
        <f t="shared" si="11"/>
        <v>53565.057819000009</v>
      </c>
      <c r="M112" s="585" t="s">
        <v>467</v>
      </c>
      <c r="N112" s="578"/>
      <c r="O112" s="579" t="s">
        <v>687</v>
      </c>
      <c r="P112" s="586" t="s">
        <v>697</v>
      </c>
      <c r="Q112" s="586" t="s">
        <v>695</v>
      </c>
      <c r="R112" s="576"/>
    </row>
    <row r="113" spans="1:17" x14ac:dyDescent="0.35">
      <c r="A113" s="584" t="s">
        <v>242</v>
      </c>
      <c r="B113" s="578" t="s">
        <v>628</v>
      </c>
      <c r="C113" s="586">
        <v>2</v>
      </c>
      <c r="D113" s="578"/>
      <c r="E113" s="579"/>
      <c r="F113" s="579"/>
      <c r="G113" s="579"/>
      <c r="H113" s="579"/>
      <c r="I113" s="579"/>
      <c r="J113" s="579" t="s">
        <v>685</v>
      </c>
      <c r="K113" s="579" t="s">
        <v>686</v>
      </c>
      <c r="L113" s="581">
        <f t="shared" si="11"/>
        <v>53565.057819000009</v>
      </c>
      <c r="M113" s="585" t="s">
        <v>467</v>
      </c>
      <c r="N113" s="578"/>
      <c r="O113" s="579" t="s">
        <v>687</v>
      </c>
      <c r="P113" s="586" t="s">
        <v>697</v>
      </c>
      <c r="Q113" s="586" t="s">
        <v>695</v>
      </c>
    </row>
    <row r="114" spans="1:17" x14ac:dyDescent="0.35">
      <c r="A114" s="584" t="s">
        <v>242</v>
      </c>
      <c r="B114" s="572" t="s">
        <v>632</v>
      </c>
      <c r="C114" s="591">
        <v>4</v>
      </c>
      <c r="D114" s="578"/>
      <c r="E114" s="579"/>
      <c r="F114" s="579"/>
      <c r="G114" s="579"/>
      <c r="H114" s="579"/>
      <c r="I114" s="579"/>
      <c r="J114" s="579" t="s">
        <v>685</v>
      </c>
      <c r="K114" s="579" t="s">
        <v>686</v>
      </c>
      <c r="L114" s="581">
        <f t="shared" ref="L114" si="13">2240*13*1.338*1.07*1.05</f>
        <v>43774.436160000012</v>
      </c>
      <c r="M114" s="585" t="s">
        <v>467</v>
      </c>
      <c r="N114" s="578"/>
      <c r="O114" s="579" t="s">
        <v>687</v>
      </c>
      <c r="P114" s="586" t="s">
        <v>697</v>
      </c>
      <c r="Q114" s="586" t="s">
        <v>695</v>
      </c>
    </row>
    <row r="115" spans="1:17" x14ac:dyDescent="0.35">
      <c r="A115" s="584" t="s">
        <v>244</v>
      </c>
      <c r="B115" s="578" t="s">
        <v>634</v>
      </c>
      <c r="C115" s="586">
        <v>2</v>
      </c>
      <c r="D115" s="578"/>
      <c r="E115" s="579"/>
      <c r="F115" s="579"/>
      <c r="G115" s="579"/>
      <c r="H115" s="579"/>
      <c r="I115" s="579"/>
      <c r="J115" s="579" t="s">
        <v>685</v>
      </c>
      <c r="K115" s="579" t="s">
        <v>686</v>
      </c>
      <c r="L115" s="581">
        <f>4147*13*1.338*1.07*1.05</f>
        <v>81041.333373000016</v>
      </c>
      <c r="M115" s="585" t="s">
        <v>467</v>
      </c>
      <c r="N115" s="578"/>
      <c r="O115" s="579" t="s">
        <v>687</v>
      </c>
      <c r="P115" s="586" t="s">
        <v>697</v>
      </c>
      <c r="Q115" s="586" t="s">
        <v>695</v>
      </c>
    </row>
    <row r="116" spans="1:17" x14ac:dyDescent="0.35">
      <c r="A116" s="584" t="s">
        <v>244</v>
      </c>
      <c r="B116" s="589" t="s">
        <v>640</v>
      </c>
      <c r="C116" s="579">
        <v>2</v>
      </c>
      <c r="D116" s="578"/>
      <c r="E116" s="579"/>
      <c r="F116" s="579"/>
      <c r="G116" s="579"/>
      <c r="H116" s="579"/>
      <c r="I116" s="579"/>
      <c r="J116" s="579" t="s">
        <v>685</v>
      </c>
      <c r="K116" s="579" t="s">
        <v>686</v>
      </c>
      <c r="L116" s="581">
        <f>2750*13*1.338*1.07*1.05</f>
        <v>53740.937250000003</v>
      </c>
      <c r="M116" s="585" t="s">
        <v>467</v>
      </c>
      <c r="N116" s="578"/>
      <c r="O116" s="579" t="s">
        <v>687</v>
      </c>
      <c r="P116" s="586" t="s">
        <v>697</v>
      </c>
      <c r="Q116" s="586" t="s">
        <v>695</v>
      </c>
    </row>
    <row r="117" spans="1:17" x14ac:dyDescent="0.35">
      <c r="A117" s="584" t="s">
        <v>244</v>
      </c>
      <c r="B117" s="578" t="s">
        <v>630</v>
      </c>
      <c r="C117" s="586">
        <v>2</v>
      </c>
      <c r="D117" s="578"/>
      <c r="E117" s="579"/>
      <c r="F117" s="579"/>
      <c r="G117" s="579"/>
      <c r="H117" s="579"/>
      <c r="I117" s="579"/>
      <c r="J117" s="579" t="s">
        <v>685</v>
      </c>
      <c r="K117" s="579" t="s">
        <v>686</v>
      </c>
      <c r="L117" s="581">
        <f>2781*13*1.338*1.07*1.05</f>
        <v>54346.744179000008</v>
      </c>
      <c r="M117" s="585" t="s">
        <v>467</v>
      </c>
      <c r="N117" s="578"/>
      <c r="O117" s="579" t="s">
        <v>687</v>
      </c>
      <c r="P117" s="586" t="s">
        <v>697</v>
      </c>
      <c r="Q117" s="586" t="s">
        <v>695</v>
      </c>
    </row>
    <row r="118" spans="1:17" x14ac:dyDescent="0.35">
      <c r="A118" s="584" t="s">
        <v>244</v>
      </c>
      <c r="B118" s="578" t="s">
        <v>634</v>
      </c>
      <c r="C118" s="586">
        <v>2</v>
      </c>
      <c r="D118" s="578"/>
      <c r="E118" s="579"/>
      <c r="F118" s="579"/>
      <c r="G118" s="579"/>
      <c r="H118" s="579"/>
      <c r="I118" s="579"/>
      <c r="J118" s="579" t="s">
        <v>685</v>
      </c>
      <c r="K118" s="579" t="s">
        <v>686</v>
      </c>
      <c r="L118" s="581">
        <f>4147*13*1.338*1.07*1.05</f>
        <v>81041.333373000016</v>
      </c>
      <c r="M118" s="585" t="s">
        <v>467</v>
      </c>
      <c r="N118" s="578"/>
      <c r="O118" s="579" t="s">
        <v>687</v>
      </c>
      <c r="P118" s="586" t="s">
        <v>697</v>
      </c>
      <c r="Q118" s="586" t="s">
        <v>695</v>
      </c>
    </row>
    <row r="119" spans="1:17" x14ac:dyDescent="0.35">
      <c r="A119" s="584" t="s">
        <v>244</v>
      </c>
      <c r="B119" s="580" t="s">
        <v>632</v>
      </c>
      <c r="C119" s="586">
        <v>1</v>
      </c>
      <c r="D119" s="578"/>
      <c r="E119" s="579"/>
      <c r="F119" s="579"/>
      <c r="G119" s="579"/>
      <c r="H119" s="579"/>
      <c r="I119" s="579"/>
      <c r="J119" s="579" t="s">
        <v>685</v>
      </c>
      <c r="K119" s="579" t="s">
        <v>686</v>
      </c>
      <c r="L119" s="581">
        <f t="shared" ref="L119:L120" si="14">2240*13*1.338*1.07*1.05</f>
        <v>43774.436160000012</v>
      </c>
      <c r="M119" s="585" t="s">
        <v>467</v>
      </c>
      <c r="N119" s="578"/>
      <c r="O119" s="579" t="s">
        <v>687</v>
      </c>
      <c r="P119" s="586" t="s">
        <v>697</v>
      </c>
      <c r="Q119" s="586" t="s">
        <v>695</v>
      </c>
    </row>
    <row r="120" spans="1:17" x14ac:dyDescent="0.35">
      <c r="A120" s="584" t="s">
        <v>246</v>
      </c>
      <c r="B120" s="580" t="s">
        <v>632</v>
      </c>
      <c r="C120" s="586">
        <v>1</v>
      </c>
      <c r="D120" s="578"/>
      <c r="E120" s="579"/>
      <c r="F120" s="579"/>
      <c r="G120" s="579"/>
      <c r="H120" s="579"/>
      <c r="I120" s="579"/>
      <c r="J120" s="579" t="s">
        <v>685</v>
      </c>
      <c r="K120" s="579" t="s">
        <v>686</v>
      </c>
      <c r="L120" s="581">
        <f t="shared" si="14"/>
        <v>43774.436160000012</v>
      </c>
      <c r="M120" s="585" t="s">
        <v>467</v>
      </c>
      <c r="N120" s="578"/>
      <c r="O120" s="579" t="s">
        <v>687</v>
      </c>
      <c r="P120" s="586" t="s">
        <v>697</v>
      </c>
      <c r="Q120" s="586" t="s">
        <v>695</v>
      </c>
    </row>
  </sheetData>
  <autoFilter ref="A5:T56" xr:uid="{8CC855B6-CE17-462D-ADE1-E22651B07E75}"/>
  <mergeCells count="28">
    <mergeCell ref="Q4:Q5"/>
    <mergeCell ref="E3:I3"/>
    <mergeCell ref="A4:A5"/>
    <mergeCell ref="B4:B5"/>
    <mergeCell ref="C4:C5"/>
    <mergeCell ref="D4:D5"/>
    <mergeCell ref="E4:I4"/>
    <mergeCell ref="P4:P5"/>
    <mergeCell ref="J4:J5"/>
    <mergeCell ref="K4:K5"/>
    <mergeCell ref="L4:L5"/>
    <mergeCell ref="M4:M5"/>
    <mergeCell ref="N4:N5"/>
    <mergeCell ref="O4:O5"/>
    <mergeCell ref="E86:I86"/>
    <mergeCell ref="A87:A88"/>
    <mergeCell ref="B87:B88"/>
    <mergeCell ref="C87:C88"/>
    <mergeCell ref="D87:D88"/>
    <mergeCell ref="E87:I87"/>
    <mergeCell ref="O87:O88"/>
    <mergeCell ref="P87:P88"/>
    <mergeCell ref="Q87:Q88"/>
    <mergeCell ref="J87:J88"/>
    <mergeCell ref="K87:K88"/>
    <mergeCell ref="L87:L88"/>
    <mergeCell ref="M87:M88"/>
    <mergeCell ref="N87:N88"/>
  </mergeCells>
  <dataValidations count="8">
    <dataValidation type="list" allowBlank="1" showInputMessage="1" showErrorMessage="1" sqref="C89:C120 C35 C47:C49 C53:C55 C22 C28" xr:uid="{A6A7D5D6-4507-41D9-9C77-CFE3A41105D9}">
      <formula1>$C$59:$C$62</formula1>
    </dataValidation>
    <dataValidation type="list" allowBlank="1" showInputMessage="1" showErrorMessage="1" sqref="D48:D49 D89:D120 D53:D55" xr:uid="{CF99B69F-90B9-4756-9791-23E5F8886712}">
      <formula1>$D$59:$D$83</formula1>
    </dataValidation>
    <dataValidation type="list" allowBlank="1" showInputMessage="1" showErrorMessage="1" sqref="B112:B118 B55 B89:B97 B101:B109" xr:uid="{67393DD0-9C2C-4BAA-AB6F-E7F769BB637F}">
      <formula1>$B$59:$B$69</formula1>
    </dataValidation>
    <dataValidation type="list" allowBlank="1" showInputMessage="1" showErrorMessage="1" sqref="C50:C52" xr:uid="{3B7554EF-208A-455D-95EA-729A2A48D2EC}">
      <formula1>$C$61:$C$64</formula1>
    </dataValidation>
    <dataValidation type="list" allowBlank="1" showInputMessage="1" showErrorMessage="1" sqref="D50:D52" xr:uid="{B738D4A0-6BA0-4A4F-8981-4CDEC0FAC705}">
      <formula1>$D$61:$D$83</formula1>
    </dataValidation>
    <dataValidation type="list" allowBlank="1" showInputMessage="1" showErrorMessage="1" sqref="C6:C21 C23:C27 C29:C34 C36:C46" xr:uid="{2C9C8FA4-7A32-4F75-839B-79BA820C4EC2}">
      <formula1>$C$24:$C$26</formula1>
    </dataValidation>
    <dataValidation type="list" allowBlank="1" showInputMessage="1" showErrorMessage="1" sqref="B53:B54 B50:B51 B6:B33 B35:B46" xr:uid="{A3E26C8C-153B-44E5-8C68-C0D36ED66437}">
      <formula1>$B$24:$B$31</formula1>
    </dataValidation>
    <dataValidation type="list" allowBlank="1" showInputMessage="1" showErrorMessage="1" sqref="D6:D46" xr:uid="{2306295E-8F32-4C62-9AD1-D00AD75AA99E}">
      <formula1>$D$24:$D$39</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9C79-0A7D-492E-B9F1-B16995D9626F}">
  <dimension ref="A1:V71"/>
  <sheetViews>
    <sheetView topLeftCell="G13" workbookViewId="0">
      <selection activeCell="R18" sqref="R18"/>
    </sheetView>
  </sheetViews>
  <sheetFormatPr defaultColWidth="8.90625" defaultRowHeight="14.5" x14ac:dyDescent="0.35"/>
  <cols>
    <col min="1" max="1" width="14.453125" customWidth="1"/>
    <col min="2" max="2" width="30.6328125" customWidth="1"/>
    <col min="3" max="3" width="15.08984375" customWidth="1"/>
    <col min="4" max="4" width="16.08984375" customWidth="1"/>
    <col min="5" max="9" width="5.90625" customWidth="1"/>
    <col min="10" max="10" width="12.08984375" customWidth="1"/>
    <col min="11" max="11" width="15.36328125" customWidth="1"/>
    <col min="12" max="12" width="16.6328125" customWidth="1"/>
    <col min="13" max="13" width="15.90625" customWidth="1"/>
    <col min="14" max="14" width="22.08984375" customWidth="1"/>
    <col min="15" max="15" width="19.08984375" customWidth="1"/>
    <col min="16" max="16" width="12.08984375" customWidth="1"/>
    <col min="17" max="17" width="14.54296875" bestFit="1" customWidth="1"/>
    <col min="18" max="18" width="14.54296875" customWidth="1"/>
  </cols>
  <sheetData>
    <row r="1" spans="1:20" x14ac:dyDescent="0.35">
      <c r="A1" s="404" t="s">
        <v>698</v>
      </c>
    </row>
    <row r="2" spans="1:20" x14ac:dyDescent="0.35">
      <c r="A2" s="404"/>
    </row>
    <row r="3" spans="1:20" s="399" customFormat="1" ht="87" x14ac:dyDescent="0.35">
      <c r="A3" s="398" t="s">
        <v>659</v>
      </c>
      <c r="B3" s="398" t="s">
        <v>660</v>
      </c>
      <c r="C3" s="398" t="s">
        <v>660</v>
      </c>
      <c r="D3" s="398" t="s">
        <v>661</v>
      </c>
      <c r="E3" s="678" t="s">
        <v>662</v>
      </c>
      <c r="F3" s="679"/>
      <c r="G3" s="679"/>
      <c r="H3" s="679"/>
      <c r="I3" s="680"/>
      <c r="J3" s="398" t="s">
        <v>663</v>
      </c>
      <c r="K3" s="398" t="s">
        <v>664</v>
      </c>
      <c r="L3" s="398" t="s">
        <v>665</v>
      </c>
      <c r="M3" s="398" t="s">
        <v>666</v>
      </c>
      <c r="N3" s="398" t="s">
        <v>667</v>
      </c>
      <c r="O3" s="398" t="s">
        <v>668</v>
      </c>
      <c r="P3" s="398" t="s">
        <v>669</v>
      </c>
      <c r="Q3" s="521" t="s">
        <v>670</v>
      </c>
      <c r="R3" s="683" t="s">
        <v>713</v>
      </c>
    </row>
    <row r="4" spans="1:20" ht="34.4" customHeight="1" x14ac:dyDescent="0.35">
      <c r="A4" s="671" t="s">
        <v>671</v>
      </c>
      <c r="B4" s="671" t="s">
        <v>672</v>
      </c>
      <c r="C4" s="671" t="s">
        <v>673</v>
      </c>
      <c r="D4" s="671" t="s">
        <v>674</v>
      </c>
      <c r="E4" s="682" t="s">
        <v>675</v>
      </c>
      <c r="F4" s="679"/>
      <c r="G4" s="679"/>
      <c r="H4" s="679"/>
      <c r="I4" s="680"/>
      <c r="J4" s="671" t="s">
        <v>676</v>
      </c>
      <c r="K4" s="671" t="s">
        <v>677</v>
      </c>
      <c r="L4" s="675" t="s">
        <v>678</v>
      </c>
      <c r="M4" s="675" t="s">
        <v>679</v>
      </c>
      <c r="N4" s="675" t="s">
        <v>680</v>
      </c>
      <c r="O4" s="671" t="s">
        <v>681</v>
      </c>
      <c r="P4" s="671" t="s">
        <v>682</v>
      </c>
      <c r="Q4" s="673" t="s">
        <v>683</v>
      </c>
      <c r="R4" s="684"/>
      <c r="T4" s="686"/>
    </row>
    <row r="5" spans="1:20" ht="27.65" customHeight="1" x14ac:dyDescent="0.35">
      <c r="A5" s="681"/>
      <c r="B5" s="681"/>
      <c r="C5" s="681"/>
      <c r="D5" s="681"/>
      <c r="E5" s="400">
        <v>2023</v>
      </c>
      <c r="F5" s="400">
        <v>2024</v>
      </c>
      <c r="G5" s="400">
        <v>2025</v>
      </c>
      <c r="H5" s="400">
        <v>2026</v>
      </c>
      <c r="I5" s="400">
        <v>2027</v>
      </c>
      <c r="J5" s="681"/>
      <c r="K5" s="681"/>
      <c r="L5" s="676"/>
      <c r="M5" s="676"/>
      <c r="N5" s="676"/>
      <c r="O5" s="681"/>
      <c r="P5" s="681"/>
      <c r="Q5" s="674"/>
      <c r="R5" s="684"/>
      <c r="S5" s="686"/>
      <c r="T5" s="686"/>
    </row>
    <row r="6" spans="1:20" s="234" customFormat="1" x14ac:dyDescent="0.35">
      <c r="A6" s="687" t="s">
        <v>712</v>
      </c>
      <c r="B6" s="688" t="s">
        <v>613</v>
      </c>
      <c r="C6" s="689">
        <v>3</v>
      </c>
      <c r="D6" s="687"/>
      <c r="E6" s="689"/>
      <c r="F6" s="689"/>
      <c r="G6" s="689"/>
      <c r="H6" s="689"/>
      <c r="I6" s="689"/>
      <c r="J6" s="690" t="s">
        <v>685</v>
      </c>
      <c r="K6" s="691" t="s">
        <v>686</v>
      </c>
      <c r="L6" s="692">
        <v>85016</v>
      </c>
      <c r="M6" s="690" t="s">
        <v>467</v>
      </c>
      <c r="N6" s="693"/>
      <c r="O6" s="691" t="s">
        <v>687</v>
      </c>
      <c r="P6" s="694">
        <v>0.1</v>
      </c>
      <c r="Q6" s="695" t="s">
        <v>688</v>
      </c>
      <c r="R6" s="696">
        <f>L6*P6</f>
        <v>8501.6</v>
      </c>
      <c r="S6" s="35"/>
    </row>
    <row r="7" spans="1:20" s="234" customFormat="1" x14ac:dyDescent="0.35">
      <c r="A7" s="687" t="s">
        <v>712</v>
      </c>
      <c r="B7" s="688" t="s">
        <v>610</v>
      </c>
      <c r="C7" s="689">
        <v>3</v>
      </c>
      <c r="D7" s="687"/>
      <c r="E7" s="689"/>
      <c r="F7" s="689"/>
      <c r="G7" s="689"/>
      <c r="H7" s="689"/>
      <c r="I7" s="689"/>
      <c r="J7" s="690" t="s">
        <v>685</v>
      </c>
      <c r="K7" s="691" t="s">
        <v>686</v>
      </c>
      <c r="L7" s="692">
        <v>60637</v>
      </c>
      <c r="M7" s="690" t="s">
        <v>467</v>
      </c>
      <c r="N7" s="693"/>
      <c r="O7" s="691" t="s">
        <v>687</v>
      </c>
      <c r="P7" s="694">
        <v>0.5</v>
      </c>
      <c r="Q7" s="695" t="s">
        <v>688</v>
      </c>
      <c r="R7" s="696">
        <f t="shared" ref="R7:R10" si="0">L7*P7</f>
        <v>30318.5</v>
      </c>
      <c r="S7" s="35"/>
    </row>
    <row r="8" spans="1:20" s="234" customFormat="1" x14ac:dyDescent="0.35">
      <c r="A8" s="687" t="s">
        <v>712</v>
      </c>
      <c r="B8" s="688" t="s">
        <v>612</v>
      </c>
      <c r="C8" s="689">
        <v>4</v>
      </c>
      <c r="D8" s="687"/>
      <c r="E8" s="689"/>
      <c r="F8" s="689"/>
      <c r="G8" s="689"/>
      <c r="H8" s="689"/>
      <c r="I8" s="689"/>
      <c r="J8" s="690" t="s">
        <v>685</v>
      </c>
      <c r="K8" s="691" t="s">
        <v>686</v>
      </c>
      <c r="L8" s="692">
        <f>12*5358</f>
        <v>64296</v>
      </c>
      <c r="M8" s="690" t="s">
        <v>467</v>
      </c>
      <c r="N8" s="693"/>
      <c r="O8" s="691" t="s">
        <v>687</v>
      </c>
      <c r="P8" s="694">
        <v>0.2</v>
      </c>
      <c r="Q8" s="695" t="s">
        <v>688</v>
      </c>
      <c r="R8" s="696">
        <f t="shared" si="0"/>
        <v>12859.2</v>
      </c>
      <c r="S8" s="35"/>
    </row>
    <row r="9" spans="1:20" s="234" customFormat="1" x14ac:dyDescent="0.35">
      <c r="A9" s="687" t="s">
        <v>712</v>
      </c>
      <c r="B9" s="688" t="s">
        <v>611</v>
      </c>
      <c r="C9" s="689">
        <v>3</v>
      </c>
      <c r="D9" s="687"/>
      <c r="E9" s="689"/>
      <c r="F9" s="689"/>
      <c r="G9" s="689"/>
      <c r="H9" s="689"/>
      <c r="I9" s="689"/>
      <c r="J9" s="690" t="s">
        <v>685</v>
      </c>
      <c r="K9" s="691" t="s">
        <v>686</v>
      </c>
      <c r="L9" s="692">
        <v>60530</v>
      </c>
      <c r="M9" s="690" t="s">
        <v>467</v>
      </c>
      <c r="N9" s="693"/>
      <c r="O9" s="691" t="s">
        <v>687</v>
      </c>
      <c r="P9" s="694">
        <v>0.1</v>
      </c>
      <c r="Q9" s="695" t="s">
        <v>688</v>
      </c>
      <c r="R9" s="696">
        <f t="shared" si="0"/>
        <v>6053</v>
      </c>
      <c r="S9" s="35"/>
    </row>
    <row r="10" spans="1:20" s="234" customFormat="1" x14ac:dyDescent="0.35">
      <c r="A10" s="687" t="s">
        <v>712</v>
      </c>
      <c r="B10" s="688" t="s">
        <v>616</v>
      </c>
      <c r="C10" s="689">
        <v>3</v>
      </c>
      <c r="D10" s="687"/>
      <c r="E10" s="689"/>
      <c r="F10" s="689"/>
      <c r="G10" s="689"/>
      <c r="H10" s="689"/>
      <c r="I10" s="689"/>
      <c r="J10" s="690" t="s">
        <v>685</v>
      </c>
      <c r="K10" s="691" t="s">
        <v>686</v>
      </c>
      <c r="L10" s="692">
        <v>48975</v>
      </c>
      <c r="M10" s="690" t="s">
        <v>467</v>
      </c>
      <c r="N10" s="693"/>
      <c r="O10" s="691" t="s">
        <v>687</v>
      </c>
      <c r="P10" s="694">
        <v>0.17499999999999999</v>
      </c>
      <c r="Q10" s="695" t="s">
        <v>688</v>
      </c>
      <c r="R10" s="696">
        <f t="shared" si="0"/>
        <v>8570.625</v>
      </c>
      <c r="S10" s="718">
        <f>SUM(R6:R10)</f>
        <v>66302.925000000003</v>
      </c>
      <c r="T10" s="712">
        <f>'kuni 2025 detsember tegevuskava'!AD37</f>
        <v>66303</v>
      </c>
    </row>
    <row r="11" spans="1:20" s="234" customFormat="1" ht="43.5" x14ac:dyDescent="0.35">
      <c r="A11" s="687" t="s">
        <v>107</v>
      </c>
      <c r="B11" s="688" t="s">
        <v>613</v>
      </c>
      <c r="C11" s="689">
        <v>3</v>
      </c>
      <c r="D11" s="687"/>
      <c r="E11" s="689"/>
      <c r="F11" s="689"/>
      <c r="G11" s="689"/>
      <c r="H11" s="689"/>
      <c r="I11" s="689"/>
      <c r="J11" s="690" t="s">
        <v>685</v>
      </c>
      <c r="K11" s="691" t="s">
        <v>686</v>
      </c>
      <c r="L11" s="692">
        <v>85016</v>
      </c>
      <c r="M11" s="690" t="s">
        <v>467</v>
      </c>
      <c r="N11" s="693"/>
      <c r="O11" s="691" t="s">
        <v>687</v>
      </c>
      <c r="P11" s="694">
        <v>0.3</v>
      </c>
      <c r="Q11" s="695" t="s">
        <v>688</v>
      </c>
      <c r="R11" s="696">
        <f>L11*P11</f>
        <v>25504.799999999999</v>
      </c>
      <c r="S11" s="35"/>
    </row>
    <row r="12" spans="1:20" s="234" customFormat="1" ht="43.5" x14ac:dyDescent="0.35">
      <c r="A12" s="687" t="s">
        <v>107</v>
      </c>
      <c r="B12" s="688" t="s">
        <v>610</v>
      </c>
      <c r="C12" s="689">
        <v>3</v>
      </c>
      <c r="D12" s="687"/>
      <c r="E12" s="689"/>
      <c r="F12" s="689"/>
      <c r="G12" s="689"/>
      <c r="H12" s="689"/>
      <c r="I12" s="689"/>
      <c r="J12" s="690" t="s">
        <v>685</v>
      </c>
      <c r="K12" s="691" t="s">
        <v>686</v>
      </c>
      <c r="L12" s="692">
        <v>60637</v>
      </c>
      <c r="M12" s="690" t="s">
        <v>467</v>
      </c>
      <c r="N12" s="693"/>
      <c r="O12" s="691" t="s">
        <v>687</v>
      </c>
      <c r="P12" s="694">
        <v>0.5</v>
      </c>
      <c r="Q12" s="695" t="s">
        <v>688</v>
      </c>
      <c r="R12" s="696">
        <f t="shared" ref="R12:R17" si="1">L12*P12</f>
        <v>30318.5</v>
      </c>
      <c r="S12" s="35"/>
    </row>
    <row r="13" spans="1:20" s="234" customFormat="1" ht="43.5" x14ac:dyDescent="0.35">
      <c r="A13" s="687" t="s">
        <v>107</v>
      </c>
      <c r="B13" s="688" t="s">
        <v>612</v>
      </c>
      <c r="C13" s="689">
        <v>4</v>
      </c>
      <c r="D13" s="687"/>
      <c r="E13" s="689"/>
      <c r="F13" s="689"/>
      <c r="G13" s="689"/>
      <c r="H13" s="689"/>
      <c r="I13" s="689"/>
      <c r="J13" s="690" t="s">
        <v>685</v>
      </c>
      <c r="K13" s="691" t="s">
        <v>686</v>
      </c>
      <c r="L13" s="692">
        <f>12*5358</f>
        <v>64296</v>
      </c>
      <c r="M13" s="690" t="s">
        <v>467</v>
      </c>
      <c r="N13" s="693"/>
      <c r="O13" s="691" t="s">
        <v>687</v>
      </c>
      <c r="P13" s="694">
        <v>0.25</v>
      </c>
      <c r="Q13" s="695" t="s">
        <v>688</v>
      </c>
      <c r="R13" s="696">
        <f t="shared" si="1"/>
        <v>16074</v>
      </c>
      <c r="S13" s="35"/>
    </row>
    <row r="14" spans="1:20" s="234" customFormat="1" ht="43.5" x14ac:dyDescent="0.35">
      <c r="A14" s="687" t="s">
        <v>107</v>
      </c>
      <c r="B14" s="688" t="s">
        <v>615</v>
      </c>
      <c r="C14" s="689">
        <v>3</v>
      </c>
      <c r="D14" s="687"/>
      <c r="E14" s="689"/>
      <c r="F14" s="689"/>
      <c r="G14" s="689"/>
      <c r="H14" s="689"/>
      <c r="I14" s="689"/>
      <c r="J14" s="690" t="s">
        <v>685</v>
      </c>
      <c r="K14" s="691" t="s">
        <v>686</v>
      </c>
      <c r="L14" s="692">
        <v>46834</v>
      </c>
      <c r="M14" s="690" t="s">
        <v>467</v>
      </c>
      <c r="N14" s="693"/>
      <c r="O14" s="691" t="s">
        <v>687</v>
      </c>
      <c r="P14" s="694">
        <v>0.3</v>
      </c>
      <c r="Q14" s="695" t="s">
        <v>688</v>
      </c>
      <c r="R14" s="696">
        <f t="shared" si="1"/>
        <v>14050.199999999999</v>
      </c>
      <c r="S14" s="35"/>
    </row>
    <row r="15" spans="1:20" s="234" customFormat="1" ht="43.5" x14ac:dyDescent="0.35">
      <c r="A15" s="687" t="s">
        <v>107</v>
      </c>
      <c r="B15" s="688" t="s">
        <v>611</v>
      </c>
      <c r="C15" s="689">
        <v>3</v>
      </c>
      <c r="D15" s="687"/>
      <c r="E15" s="689"/>
      <c r="F15" s="689"/>
      <c r="G15" s="689"/>
      <c r="H15" s="689"/>
      <c r="I15" s="689"/>
      <c r="J15" s="690" t="s">
        <v>685</v>
      </c>
      <c r="K15" s="691" t="s">
        <v>686</v>
      </c>
      <c r="L15" s="692">
        <v>60530</v>
      </c>
      <c r="M15" s="690" t="s">
        <v>467</v>
      </c>
      <c r="N15" s="693"/>
      <c r="O15" s="691" t="s">
        <v>687</v>
      </c>
      <c r="P15" s="694">
        <v>0.2</v>
      </c>
      <c r="Q15" s="695" t="s">
        <v>688</v>
      </c>
      <c r="R15" s="696">
        <f t="shared" si="1"/>
        <v>12106</v>
      </c>
      <c r="S15" s="35"/>
      <c r="T15" s="712">
        <f>T16-S16</f>
        <v>0</v>
      </c>
    </row>
    <row r="16" spans="1:20" s="234" customFormat="1" ht="43.5" x14ac:dyDescent="0.35">
      <c r="A16" s="687" t="s">
        <v>107</v>
      </c>
      <c r="B16" s="688" t="s">
        <v>616</v>
      </c>
      <c r="C16" s="689">
        <v>3</v>
      </c>
      <c r="D16" s="687"/>
      <c r="E16" s="689"/>
      <c r="F16" s="689"/>
      <c r="G16" s="689"/>
      <c r="H16" s="689"/>
      <c r="I16" s="689"/>
      <c r="J16" s="690" t="s">
        <v>685</v>
      </c>
      <c r="K16" s="691" t="s">
        <v>686</v>
      </c>
      <c r="L16" s="692">
        <v>48975</v>
      </c>
      <c r="M16" s="690" t="s">
        <v>467</v>
      </c>
      <c r="N16" s="693"/>
      <c r="O16" s="691" t="s">
        <v>687</v>
      </c>
      <c r="P16" s="694">
        <v>0.3</v>
      </c>
      <c r="Q16" s="695" t="s">
        <v>688</v>
      </c>
      <c r="R16" s="696">
        <f t="shared" si="1"/>
        <v>14692.5</v>
      </c>
      <c r="S16" s="718">
        <f>SUM(R11:R16)</f>
        <v>112746</v>
      </c>
      <c r="T16" s="712">
        <f>'kuni 2025 detsember tegevuskava'!AD36</f>
        <v>112746</v>
      </c>
    </row>
    <row r="17" spans="1:22" s="234" customFormat="1" x14ac:dyDescent="0.35">
      <c r="A17" s="687" t="s">
        <v>123</v>
      </c>
      <c r="B17" s="688" t="s">
        <v>710</v>
      </c>
      <c r="C17" s="689">
        <v>3</v>
      </c>
      <c r="D17" s="687" t="s">
        <v>123</v>
      </c>
      <c r="E17" s="689"/>
      <c r="F17" s="689"/>
      <c r="G17" s="689"/>
      <c r="H17" s="689"/>
      <c r="I17" s="689"/>
      <c r="J17" s="690" t="s">
        <v>685</v>
      </c>
      <c r="K17" s="691" t="s">
        <v>686</v>
      </c>
      <c r="L17" s="692">
        <v>82795</v>
      </c>
      <c r="M17" s="690" t="s">
        <v>467</v>
      </c>
      <c r="N17" s="693"/>
      <c r="O17" s="691" t="s">
        <v>687</v>
      </c>
      <c r="P17" s="694">
        <v>0.5</v>
      </c>
      <c r="Q17" s="695" t="s">
        <v>688</v>
      </c>
      <c r="R17" s="696">
        <f t="shared" si="1"/>
        <v>41397.5</v>
      </c>
      <c r="S17" s="35"/>
    </row>
    <row r="18" spans="1:22" s="1" customFormat="1" x14ac:dyDescent="0.35">
      <c r="A18" s="596"/>
      <c r="B18" s="597"/>
      <c r="C18" s="598"/>
      <c r="D18" s="596"/>
      <c r="E18" s="598"/>
      <c r="F18" s="598"/>
      <c r="G18" s="598"/>
      <c r="H18" s="598"/>
      <c r="I18" s="598"/>
      <c r="J18" s="598"/>
      <c r="K18" s="598"/>
      <c r="L18" s="599"/>
      <c r="M18" s="598"/>
      <c r="N18" s="600"/>
      <c r="O18" s="598"/>
      <c r="P18" s="598"/>
      <c r="Q18" s="598"/>
      <c r="R18" s="685">
        <f>SUM(R6:R17)</f>
        <v>220446.42500000002</v>
      </c>
      <c r="S18" s="576"/>
      <c r="T18" s="577"/>
      <c r="U18" s="577"/>
      <c r="V18" s="577"/>
    </row>
    <row r="19" spans="1:22" s="1" customFormat="1" x14ac:dyDescent="0.35">
      <c r="A19" s="596"/>
      <c r="B19" s="597"/>
      <c r="C19" s="598"/>
      <c r="D19" s="596"/>
      <c r="E19" s="598"/>
      <c r="F19" s="598"/>
      <c r="G19" s="598"/>
      <c r="H19" s="598"/>
      <c r="I19" s="598"/>
      <c r="J19" s="598"/>
      <c r="K19" s="598"/>
      <c r="L19" s="599"/>
      <c r="M19" s="598"/>
      <c r="N19" s="600"/>
      <c r="O19" s="598"/>
      <c r="P19" s="598"/>
      <c r="Q19" s="598"/>
      <c r="R19" s="598"/>
      <c r="S19" s="576"/>
      <c r="T19" s="577"/>
      <c r="U19" s="577"/>
      <c r="V19" s="577"/>
    </row>
    <row r="21" spans="1:22" s="1" customFormat="1" hidden="1" x14ac:dyDescent="0.35">
      <c r="Q21" s="522"/>
      <c r="R21" s="522"/>
    </row>
    <row r="22" spans="1:22" hidden="1" x14ac:dyDescent="0.35">
      <c r="Q22" s="522"/>
      <c r="R22" s="522"/>
    </row>
    <row r="23" spans="1:22" hidden="1" x14ac:dyDescent="0.35">
      <c r="B23" s="403" t="s">
        <v>620</v>
      </c>
      <c r="C23">
        <v>1</v>
      </c>
      <c r="D23" t="s">
        <v>621</v>
      </c>
      <c r="J23" t="s">
        <v>685</v>
      </c>
      <c r="K23" t="s">
        <v>690</v>
      </c>
      <c r="M23" t="s">
        <v>467</v>
      </c>
      <c r="O23" t="s">
        <v>687</v>
      </c>
      <c r="Q23" s="522"/>
      <c r="R23" s="522"/>
    </row>
    <row r="24" spans="1:22" hidden="1" x14ac:dyDescent="0.35">
      <c r="B24" s="403" t="s">
        <v>622</v>
      </c>
      <c r="C24">
        <v>2</v>
      </c>
      <c r="D24" t="s">
        <v>623</v>
      </c>
      <c r="J24" t="s">
        <v>467</v>
      </c>
      <c r="Q24" s="522"/>
      <c r="R24" s="522"/>
    </row>
    <row r="25" spans="1:22" hidden="1" x14ac:dyDescent="0.35">
      <c r="B25" s="403" t="s">
        <v>624</v>
      </c>
      <c r="C25">
        <v>3</v>
      </c>
      <c r="D25" t="s">
        <v>625</v>
      </c>
      <c r="Q25" s="522"/>
      <c r="R25" s="522"/>
    </row>
    <row r="26" spans="1:22" hidden="1" x14ac:dyDescent="0.35">
      <c r="B26" s="403" t="s">
        <v>626</v>
      </c>
      <c r="C26">
        <v>4</v>
      </c>
      <c r="D26" t="s">
        <v>627</v>
      </c>
      <c r="Q26" s="522"/>
      <c r="R26" s="522"/>
    </row>
    <row r="27" spans="1:22" hidden="1" x14ac:dyDescent="0.35">
      <c r="B27" s="403" t="s">
        <v>628</v>
      </c>
      <c r="D27" t="s">
        <v>629</v>
      </c>
      <c r="Q27" s="522"/>
      <c r="R27" s="522"/>
    </row>
    <row r="28" spans="1:22" hidden="1" x14ac:dyDescent="0.35">
      <c r="B28" s="403" t="s">
        <v>630</v>
      </c>
      <c r="D28" t="s">
        <v>631</v>
      </c>
      <c r="Q28" s="522"/>
      <c r="R28" s="522"/>
    </row>
    <row r="29" spans="1:22" hidden="1" x14ac:dyDescent="0.35">
      <c r="B29" s="403" t="s">
        <v>632</v>
      </c>
      <c r="D29" t="s">
        <v>633</v>
      </c>
      <c r="Q29" s="522"/>
      <c r="R29" s="522"/>
    </row>
    <row r="30" spans="1:22" hidden="1" x14ac:dyDescent="0.35">
      <c r="B30" s="403" t="s">
        <v>634</v>
      </c>
      <c r="D30" t="s">
        <v>635</v>
      </c>
      <c r="J30" t="s">
        <v>123</v>
      </c>
      <c r="Q30" s="522"/>
      <c r="R30" s="522"/>
    </row>
    <row r="31" spans="1:22" hidden="1" x14ac:dyDescent="0.35">
      <c r="B31" s="403" t="s">
        <v>636</v>
      </c>
      <c r="D31" t="s">
        <v>637</v>
      </c>
      <c r="Q31" s="522"/>
      <c r="R31" s="522"/>
    </row>
    <row r="32" spans="1:22" hidden="1" x14ac:dyDescent="0.35">
      <c r="B32" s="403" t="s">
        <v>638</v>
      </c>
      <c r="D32" t="s">
        <v>639</v>
      </c>
      <c r="Q32" s="522"/>
      <c r="R32" s="522"/>
    </row>
    <row r="33" spans="2:18" hidden="1" x14ac:dyDescent="0.35">
      <c r="B33" s="403" t="s">
        <v>640</v>
      </c>
      <c r="D33" t="s">
        <v>641</v>
      </c>
      <c r="Q33" s="522"/>
      <c r="R33" s="522"/>
    </row>
    <row r="34" spans="2:18" hidden="1" x14ac:dyDescent="0.35">
      <c r="B34" s="19"/>
      <c r="D34" t="s">
        <v>642</v>
      </c>
      <c r="Q34" s="522"/>
      <c r="R34" s="522"/>
    </row>
    <row r="35" spans="2:18" hidden="1" x14ac:dyDescent="0.35">
      <c r="B35" s="19"/>
      <c r="D35" t="s">
        <v>643</v>
      </c>
      <c r="Q35" s="522"/>
      <c r="R35" s="522"/>
    </row>
    <row r="36" spans="2:18" hidden="1" x14ac:dyDescent="0.35">
      <c r="D36" t="s">
        <v>644</v>
      </c>
      <c r="Q36" s="522"/>
      <c r="R36" s="522"/>
    </row>
    <row r="37" spans="2:18" hidden="1" x14ac:dyDescent="0.35">
      <c r="D37" t="s">
        <v>645</v>
      </c>
      <c r="Q37" s="522"/>
      <c r="R37" s="522"/>
    </row>
    <row r="38" spans="2:18" hidden="1" x14ac:dyDescent="0.35">
      <c r="D38" t="s">
        <v>646</v>
      </c>
      <c r="Q38" s="522"/>
      <c r="R38" s="522"/>
    </row>
    <row r="39" spans="2:18" hidden="1" x14ac:dyDescent="0.35">
      <c r="D39" t="s">
        <v>647</v>
      </c>
      <c r="Q39" s="522"/>
      <c r="R39" s="522"/>
    </row>
    <row r="40" spans="2:18" hidden="1" x14ac:dyDescent="0.35">
      <c r="D40" t="s">
        <v>648</v>
      </c>
      <c r="Q40" s="522"/>
      <c r="R40" s="522"/>
    </row>
    <row r="41" spans="2:18" hidden="1" x14ac:dyDescent="0.35">
      <c r="D41" t="s">
        <v>649</v>
      </c>
      <c r="Q41" s="522"/>
      <c r="R41" s="522"/>
    </row>
    <row r="42" spans="2:18" hidden="1" x14ac:dyDescent="0.35">
      <c r="D42" t="s">
        <v>650</v>
      </c>
      <c r="Q42" s="522"/>
      <c r="R42" s="522"/>
    </row>
    <row r="43" spans="2:18" hidden="1" x14ac:dyDescent="0.35">
      <c r="D43" t="s">
        <v>651</v>
      </c>
      <c r="Q43" s="522"/>
      <c r="R43" s="522"/>
    </row>
    <row r="44" spans="2:18" hidden="1" x14ac:dyDescent="0.35">
      <c r="D44" t="s">
        <v>652</v>
      </c>
    </row>
    <row r="45" spans="2:18" hidden="1" x14ac:dyDescent="0.35">
      <c r="D45" t="s">
        <v>653</v>
      </c>
    </row>
    <row r="46" spans="2:18" hidden="1" x14ac:dyDescent="0.35">
      <c r="D46" t="s">
        <v>654</v>
      </c>
    </row>
    <row r="47" spans="2:18" hidden="1" x14ac:dyDescent="0.35">
      <c r="D47" t="s">
        <v>655</v>
      </c>
    </row>
    <row r="48" spans="2:18" hidden="1" x14ac:dyDescent="0.35"/>
    <row r="49" spans="1:20" hidden="1" x14ac:dyDescent="0.35"/>
    <row r="50" spans="1:20" hidden="1" x14ac:dyDescent="0.35"/>
    <row r="51" spans="1:20" hidden="1" x14ac:dyDescent="0.35"/>
    <row r="52" spans="1:20" hidden="1" x14ac:dyDescent="0.35">
      <c r="D52" t="s">
        <v>684</v>
      </c>
    </row>
    <row r="53" spans="1:20" x14ac:dyDescent="0.35">
      <c r="A53" t="s">
        <v>700</v>
      </c>
    </row>
    <row r="54" spans="1:20" s="399" customFormat="1" ht="87" x14ac:dyDescent="0.35">
      <c r="A54" s="398" t="s">
        <v>659</v>
      </c>
      <c r="B54" s="398" t="s">
        <v>660</v>
      </c>
      <c r="C54" s="398" t="s">
        <v>660</v>
      </c>
      <c r="D54" s="398" t="s">
        <v>661</v>
      </c>
      <c r="E54" s="678" t="s">
        <v>662</v>
      </c>
      <c r="F54" s="679"/>
      <c r="G54" s="679"/>
      <c r="H54" s="679"/>
      <c r="I54" s="680"/>
      <c r="J54" s="398" t="s">
        <v>663</v>
      </c>
      <c r="K54" s="398" t="s">
        <v>664</v>
      </c>
      <c r="L54" s="398" t="s">
        <v>665</v>
      </c>
      <c r="M54" s="398" t="s">
        <v>666</v>
      </c>
      <c r="N54" s="398" t="s">
        <v>667</v>
      </c>
      <c r="O54" s="398" t="s">
        <v>668</v>
      </c>
      <c r="P54" s="398" t="s">
        <v>669</v>
      </c>
      <c r="Q54" s="521" t="s">
        <v>670</v>
      </c>
      <c r="R54" s="683"/>
    </row>
    <row r="55" spans="1:20" ht="34.4" customHeight="1" x14ac:dyDescent="0.35">
      <c r="A55" s="671" t="s">
        <v>671</v>
      </c>
      <c r="B55" s="671" t="s">
        <v>672</v>
      </c>
      <c r="C55" s="671" t="s">
        <v>673</v>
      </c>
      <c r="D55" s="671" t="s">
        <v>674</v>
      </c>
      <c r="E55" s="682" t="s">
        <v>675</v>
      </c>
      <c r="F55" s="679"/>
      <c r="G55" s="679"/>
      <c r="H55" s="679"/>
      <c r="I55" s="680"/>
      <c r="J55" s="671" t="s">
        <v>676</v>
      </c>
      <c r="K55" s="671" t="s">
        <v>677</v>
      </c>
      <c r="L55" s="675" t="s">
        <v>678</v>
      </c>
      <c r="M55" s="675" t="s">
        <v>679</v>
      </c>
      <c r="N55" s="675" t="s">
        <v>680</v>
      </c>
      <c r="O55" s="671" t="s">
        <v>681</v>
      </c>
      <c r="P55" s="671" t="s">
        <v>682</v>
      </c>
      <c r="Q55" s="673" t="s">
        <v>683</v>
      </c>
      <c r="R55" s="684"/>
    </row>
    <row r="56" spans="1:20" ht="27.65" customHeight="1" x14ac:dyDescent="0.35">
      <c r="A56" s="681"/>
      <c r="B56" s="681"/>
      <c r="C56" s="681"/>
      <c r="D56" s="681"/>
      <c r="E56" s="400">
        <v>2023</v>
      </c>
      <c r="F56" s="400">
        <v>2024</v>
      </c>
      <c r="G56" s="400">
        <v>2025</v>
      </c>
      <c r="H56" s="400">
        <v>2026</v>
      </c>
      <c r="I56" s="400">
        <v>2027</v>
      </c>
      <c r="J56" s="681"/>
      <c r="K56" s="681"/>
      <c r="L56" s="676"/>
      <c r="M56" s="676"/>
      <c r="N56" s="676"/>
      <c r="O56" s="681"/>
      <c r="P56" s="681"/>
      <c r="Q56" s="674"/>
      <c r="R56" s="684"/>
    </row>
    <row r="57" spans="1:20" s="1" customFormat="1" x14ac:dyDescent="0.35">
      <c r="A57" s="582" t="s">
        <v>701</v>
      </c>
      <c r="B57" s="578" t="s">
        <v>630</v>
      </c>
      <c r="C57" s="579">
        <v>2</v>
      </c>
      <c r="D57" s="578"/>
      <c r="E57" s="579"/>
      <c r="F57" s="579" t="s">
        <v>563</v>
      </c>
      <c r="G57" s="579"/>
      <c r="H57" s="579"/>
      <c r="I57" s="579"/>
      <c r="J57" s="579" t="s">
        <v>467</v>
      </c>
      <c r="K57" s="579" t="s">
        <v>690</v>
      </c>
      <c r="L57" s="581">
        <f>2781*13*1.338*1.07*1.05</f>
        <v>54346.744179000008</v>
      </c>
      <c r="M57" s="579" t="s">
        <v>467</v>
      </c>
      <c r="N57" s="590"/>
      <c r="O57" s="579" t="s">
        <v>687</v>
      </c>
      <c r="P57" s="579">
        <v>1</v>
      </c>
      <c r="Q57" s="579" t="s">
        <v>702</v>
      </c>
      <c r="R57" s="598"/>
      <c r="S57" s="576" t="s">
        <v>703</v>
      </c>
    </row>
    <row r="58" spans="1:20" s="1" customFormat="1" x14ac:dyDescent="0.35">
      <c r="A58" s="582" t="s">
        <v>701</v>
      </c>
      <c r="B58" s="578" t="s">
        <v>628</v>
      </c>
      <c r="C58" s="579">
        <v>2</v>
      </c>
      <c r="D58" s="578"/>
      <c r="E58" s="579"/>
      <c r="F58" s="579" t="s">
        <v>563</v>
      </c>
      <c r="G58" s="579"/>
      <c r="H58" s="579"/>
      <c r="I58" s="579"/>
      <c r="J58" s="579" t="s">
        <v>467</v>
      </c>
      <c r="K58" s="579" t="s">
        <v>690</v>
      </c>
      <c r="L58" s="581">
        <f>2741*13*1.338*1.07*1.05</f>
        <v>53565.057819000009</v>
      </c>
      <c r="M58" s="579" t="s">
        <v>467</v>
      </c>
      <c r="N58" s="590"/>
      <c r="O58" s="579" t="s">
        <v>687</v>
      </c>
      <c r="P58" s="579">
        <v>1</v>
      </c>
      <c r="Q58" s="579" t="s">
        <v>702</v>
      </c>
      <c r="R58" s="598"/>
      <c r="S58" s="576" t="s">
        <v>704</v>
      </c>
      <c r="T58" s="577"/>
    </row>
    <row r="59" spans="1:20" s="1" customFormat="1" x14ac:dyDescent="0.35">
      <c r="A59" s="582" t="s">
        <v>701</v>
      </c>
      <c r="B59" s="578" t="s">
        <v>634</v>
      </c>
      <c r="C59" s="579">
        <v>3</v>
      </c>
      <c r="D59" s="578"/>
      <c r="E59" s="579"/>
      <c r="F59" s="579"/>
      <c r="G59" s="579"/>
      <c r="H59" s="579"/>
      <c r="I59" s="579"/>
      <c r="J59" s="579" t="s">
        <v>685</v>
      </c>
      <c r="K59" s="579" t="s">
        <v>686</v>
      </c>
      <c r="L59" s="581">
        <f>4668*13*1.338*1.07*1.05</f>
        <v>91222.798212000023</v>
      </c>
      <c r="M59" s="579" t="s">
        <v>467</v>
      </c>
      <c r="N59" s="592"/>
      <c r="O59" s="579" t="s">
        <v>687</v>
      </c>
      <c r="P59" s="579">
        <v>1</v>
      </c>
      <c r="Q59" s="579" t="s">
        <v>702</v>
      </c>
      <c r="R59" s="598"/>
      <c r="S59" s="576" t="s">
        <v>705</v>
      </c>
      <c r="T59" s="577"/>
    </row>
    <row r="60" spans="1:20" s="1" customFormat="1" x14ac:dyDescent="0.35">
      <c r="A60" s="582" t="s">
        <v>701</v>
      </c>
      <c r="B60" s="578" t="s">
        <v>634</v>
      </c>
      <c r="C60" s="579">
        <v>3</v>
      </c>
      <c r="D60" s="578"/>
      <c r="E60" s="579"/>
      <c r="F60" s="579" t="s">
        <v>563</v>
      </c>
      <c r="G60" s="579"/>
      <c r="H60" s="579"/>
      <c r="I60" s="579"/>
      <c r="J60" s="579" t="s">
        <v>467</v>
      </c>
      <c r="K60" s="579" t="s">
        <v>690</v>
      </c>
      <c r="L60" s="581">
        <f>4668*13*1.338*1.07*1.05</f>
        <v>91222.798212000023</v>
      </c>
      <c r="M60" s="579" t="s">
        <v>699</v>
      </c>
      <c r="N60" s="592">
        <v>120000</v>
      </c>
      <c r="O60" s="579" t="s">
        <v>687</v>
      </c>
      <c r="P60" s="579">
        <v>1</v>
      </c>
      <c r="Q60" s="579" t="s">
        <v>702</v>
      </c>
      <c r="R60" s="598"/>
      <c r="S60" s="576" t="s">
        <v>705</v>
      </c>
      <c r="T60" s="577"/>
    </row>
    <row r="61" spans="1:20" s="1" customFormat="1" x14ac:dyDescent="0.35">
      <c r="A61" s="582" t="s">
        <v>701</v>
      </c>
      <c r="B61" s="578" t="s">
        <v>628</v>
      </c>
      <c r="C61" s="579">
        <v>2</v>
      </c>
      <c r="D61" s="578"/>
      <c r="E61" s="579"/>
      <c r="F61" s="579"/>
      <c r="G61" s="579"/>
      <c r="H61" s="579"/>
      <c r="I61" s="579"/>
      <c r="J61" s="579" t="s">
        <v>685</v>
      </c>
      <c r="K61" s="579" t="s">
        <v>686</v>
      </c>
      <c r="L61" s="581">
        <f>2741*13*1.338*1.07*1.05</f>
        <v>53565.057819000009</v>
      </c>
      <c r="M61" s="579" t="s">
        <v>467</v>
      </c>
      <c r="N61" s="590"/>
      <c r="O61" s="579" t="s">
        <v>687</v>
      </c>
      <c r="P61" s="579">
        <v>1</v>
      </c>
      <c r="Q61" s="579" t="s">
        <v>702</v>
      </c>
      <c r="R61" s="598"/>
      <c r="S61" s="576" t="s">
        <v>705</v>
      </c>
      <c r="T61" s="577"/>
    </row>
    <row r="62" spans="1:20" s="1" customFormat="1" x14ac:dyDescent="0.35">
      <c r="A62" s="582" t="s">
        <v>701</v>
      </c>
      <c r="B62" s="578" t="s">
        <v>628</v>
      </c>
      <c r="C62" s="579">
        <v>2</v>
      </c>
      <c r="D62" s="578"/>
      <c r="E62" s="579"/>
      <c r="F62" s="579"/>
      <c r="G62" s="579"/>
      <c r="H62" s="579"/>
      <c r="I62" s="579"/>
      <c r="J62" s="579" t="s">
        <v>685</v>
      </c>
      <c r="K62" s="579" t="s">
        <v>686</v>
      </c>
      <c r="L62" s="581">
        <f>2741*13*1.338*1.07*1.05</f>
        <v>53565.057819000009</v>
      </c>
      <c r="M62" s="579" t="s">
        <v>467</v>
      </c>
      <c r="N62" s="590"/>
      <c r="O62" s="579" t="s">
        <v>687</v>
      </c>
      <c r="P62" s="579">
        <v>1</v>
      </c>
      <c r="Q62" s="579" t="s">
        <v>702</v>
      </c>
      <c r="R62" s="598"/>
      <c r="S62" s="576" t="s">
        <v>705</v>
      </c>
      <c r="T62" s="577"/>
    </row>
    <row r="63" spans="1:20" s="1" customFormat="1" x14ac:dyDescent="0.35">
      <c r="A63" s="582" t="s">
        <v>701</v>
      </c>
      <c r="B63" s="583" t="s">
        <v>632</v>
      </c>
      <c r="C63" s="586">
        <v>4</v>
      </c>
      <c r="D63" s="578" t="s">
        <v>655</v>
      </c>
      <c r="E63" s="579"/>
      <c r="F63" s="579"/>
      <c r="G63" s="579"/>
      <c r="H63" s="579"/>
      <c r="I63" s="579"/>
      <c r="J63" s="579" t="s">
        <v>685</v>
      </c>
      <c r="K63" s="579" t="s">
        <v>686</v>
      </c>
      <c r="L63" s="581">
        <f>13*4300*1.338*1.07*1.05</f>
        <v>84031.283700000029</v>
      </c>
      <c r="M63" s="579" t="s">
        <v>467</v>
      </c>
      <c r="N63" s="590"/>
      <c r="O63" s="579" t="s">
        <v>687</v>
      </c>
      <c r="P63" s="579">
        <v>1</v>
      </c>
      <c r="Q63" s="579" t="s">
        <v>702</v>
      </c>
      <c r="R63" s="598"/>
      <c r="S63" s="576" t="s">
        <v>705</v>
      </c>
      <c r="T63" s="577"/>
    </row>
    <row r="64" spans="1:20" s="1" customFormat="1" x14ac:dyDescent="0.35">
      <c r="A64" s="582" t="s">
        <v>701</v>
      </c>
      <c r="B64" s="578" t="s">
        <v>638</v>
      </c>
      <c r="C64" s="579">
        <v>4</v>
      </c>
      <c r="D64" s="578"/>
      <c r="E64" s="579"/>
      <c r="F64" s="579"/>
      <c r="G64" s="579"/>
      <c r="H64" s="579"/>
      <c r="I64" s="579"/>
      <c r="J64" s="579" t="s">
        <v>685</v>
      </c>
      <c r="K64" s="579" t="s">
        <v>686</v>
      </c>
      <c r="L64" s="581">
        <f>2690*13*1.338*1.07*1.05</f>
        <v>52568.407710000007</v>
      </c>
      <c r="M64" s="579" t="s">
        <v>467</v>
      </c>
      <c r="N64" s="590"/>
      <c r="O64" s="579" t="s">
        <v>687</v>
      </c>
      <c r="P64" s="579">
        <v>1</v>
      </c>
      <c r="Q64" s="579" t="s">
        <v>702</v>
      </c>
      <c r="R64" s="598"/>
      <c r="S64" s="576" t="s">
        <v>705</v>
      </c>
      <c r="T64" s="577"/>
    </row>
    <row r="65" spans="1:20" s="1" customFormat="1" x14ac:dyDescent="0.35">
      <c r="A65" s="582" t="s">
        <v>701</v>
      </c>
      <c r="B65" s="578" t="s">
        <v>630</v>
      </c>
      <c r="C65" s="579">
        <v>2</v>
      </c>
      <c r="D65" s="578"/>
      <c r="E65" s="579"/>
      <c r="F65" s="579"/>
      <c r="G65" s="579"/>
      <c r="H65" s="579"/>
      <c r="I65" s="579"/>
      <c r="J65" s="579" t="s">
        <v>685</v>
      </c>
      <c r="K65" s="579" t="s">
        <v>686</v>
      </c>
      <c r="L65" s="581">
        <f>2781*13*1.338*1.07*1.05</f>
        <v>54346.744179000008</v>
      </c>
      <c r="M65" s="579" t="s">
        <v>467</v>
      </c>
      <c r="N65" s="590"/>
      <c r="O65" s="579" t="s">
        <v>687</v>
      </c>
      <c r="P65" s="579">
        <v>1</v>
      </c>
      <c r="Q65" s="579" t="s">
        <v>702</v>
      </c>
      <c r="R65" s="598"/>
      <c r="S65" s="576" t="s">
        <v>705</v>
      </c>
      <c r="T65" s="577"/>
    </row>
    <row r="66" spans="1:20" s="1" customFormat="1" x14ac:dyDescent="0.35">
      <c r="A66" s="582" t="s">
        <v>701</v>
      </c>
      <c r="B66" s="578" t="s">
        <v>640</v>
      </c>
      <c r="C66" s="579">
        <v>2</v>
      </c>
      <c r="D66" s="578"/>
      <c r="E66" s="579"/>
      <c r="F66" s="579"/>
      <c r="G66" s="579"/>
      <c r="H66" s="579"/>
      <c r="I66" s="579"/>
      <c r="J66" s="579" t="s">
        <v>685</v>
      </c>
      <c r="K66" s="579" t="s">
        <v>686</v>
      </c>
      <c r="L66" s="581">
        <f>2750*13*1.338*1.07*1.05</f>
        <v>53740.937250000003</v>
      </c>
      <c r="M66" s="579" t="s">
        <v>467</v>
      </c>
      <c r="N66" s="590"/>
      <c r="O66" s="579" t="s">
        <v>687</v>
      </c>
      <c r="P66" s="579">
        <v>1</v>
      </c>
      <c r="Q66" s="579" t="s">
        <v>702</v>
      </c>
      <c r="R66" s="598"/>
      <c r="S66" s="576" t="s">
        <v>705</v>
      </c>
      <c r="T66" s="577"/>
    </row>
    <row r="67" spans="1:20" s="1" customFormat="1" x14ac:dyDescent="0.35">
      <c r="A67" s="582" t="s">
        <v>701</v>
      </c>
      <c r="B67" s="578" t="s">
        <v>640</v>
      </c>
      <c r="C67" s="579">
        <v>2</v>
      </c>
      <c r="D67" s="578"/>
      <c r="E67" s="579"/>
      <c r="F67" s="579"/>
      <c r="G67" s="579"/>
      <c r="H67" s="579"/>
      <c r="I67" s="579"/>
      <c r="J67" s="579" t="s">
        <v>685</v>
      </c>
      <c r="K67" s="579" t="s">
        <v>686</v>
      </c>
      <c r="L67" s="581">
        <f>2100*13*1.338*1.07*1.05</f>
        <v>41038.533900000009</v>
      </c>
      <c r="M67" s="579" t="s">
        <v>467</v>
      </c>
      <c r="N67" s="590"/>
      <c r="O67" s="579" t="s">
        <v>687</v>
      </c>
      <c r="P67" s="579">
        <v>1</v>
      </c>
      <c r="Q67" s="579" t="s">
        <v>702</v>
      </c>
      <c r="R67" s="598"/>
      <c r="S67" s="576" t="s">
        <v>705</v>
      </c>
      <c r="T67" s="577"/>
    </row>
    <row r="68" spans="1:20" s="1" customFormat="1" x14ac:dyDescent="0.35">
      <c r="A68" s="582" t="s">
        <v>138</v>
      </c>
      <c r="B68" s="578" t="s">
        <v>628</v>
      </c>
      <c r="C68" s="579">
        <v>2</v>
      </c>
      <c r="D68" s="578"/>
      <c r="E68" s="579"/>
      <c r="F68" s="579"/>
      <c r="G68" s="579"/>
      <c r="H68" s="579"/>
      <c r="I68" s="579"/>
      <c r="J68" s="579" t="s">
        <v>685</v>
      </c>
      <c r="K68" s="579" t="s">
        <v>686</v>
      </c>
      <c r="L68" s="581">
        <f>2741*13*1.338*1.07*1.05</f>
        <v>53565.057819000009</v>
      </c>
      <c r="M68" s="579" t="s">
        <v>467</v>
      </c>
      <c r="N68" s="590"/>
      <c r="O68" s="579" t="s">
        <v>687</v>
      </c>
      <c r="P68" s="579">
        <v>1</v>
      </c>
      <c r="Q68" s="579" t="s">
        <v>706</v>
      </c>
      <c r="R68" s="598"/>
      <c r="S68" s="576" t="s">
        <v>707</v>
      </c>
      <c r="T68" s="577"/>
    </row>
    <row r="69" spans="1:20" s="1" customFormat="1" x14ac:dyDescent="0.35">
      <c r="A69" s="582" t="s">
        <v>138</v>
      </c>
      <c r="B69" s="583" t="s">
        <v>632</v>
      </c>
      <c r="C69" s="586">
        <v>4</v>
      </c>
      <c r="D69" s="578" t="s">
        <v>655</v>
      </c>
      <c r="E69" s="579"/>
      <c r="F69" s="579"/>
      <c r="G69" s="579"/>
      <c r="H69" s="579"/>
      <c r="I69" s="579"/>
      <c r="J69" s="579" t="s">
        <v>685</v>
      </c>
      <c r="K69" s="579" t="s">
        <v>686</v>
      </c>
      <c r="L69" s="581">
        <f>13*4300*1.338*1.07*1.05</f>
        <v>84031.283700000029</v>
      </c>
      <c r="M69" s="579" t="s">
        <v>467</v>
      </c>
      <c r="N69" s="590"/>
      <c r="O69" s="579" t="s">
        <v>687</v>
      </c>
      <c r="P69" s="579">
        <v>1</v>
      </c>
      <c r="Q69" s="579" t="s">
        <v>706</v>
      </c>
      <c r="R69" s="598"/>
      <c r="S69" s="576" t="s">
        <v>707</v>
      </c>
      <c r="T69" s="577"/>
    </row>
    <row r="70" spans="1:20" s="1" customFormat="1" x14ac:dyDescent="0.35">
      <c r="A70" s="582" t="s">
        <v>138</v>
      </c>
      <c r="B70" s="578" t="s">
        <v>628</v>
      </c>
      <c r="C70" s="579">
        <v>2</v>
      </c>
      <c r="D70" s="578"/>
      <c r="E70" s="579"/>
      <c r="F70" s="579" t="s">
        <v>563</v>
      </c>
      <c r="G70" s="579"/>
      <c r="H70" s="579"/>
      <c r="I70" s="579"/>
      <c r="J70" s="579" t="s">
        <v>685</v>
      </c>
      <c r="K70" s="579" t="s">
        <v>690</v>
      </c>
      <c r="L70" s="581">
        <f>2741*13*1.338*1.07*1.05</f>
        <v>53565.057819000009</v>
      </c>
      <c r="M70" s="579" t="s">
        <v>467</v>
      </c>
      <c r="N70" s="590"/>
      <c r="O70" s="579" t="s">
        <v>687</v>
      </c>
      <c r="P70" s="579">
        <v>1</v>
      </c>
      <c r="Q70" s="579" t="s">
        <v>706</v>
      </c>
      <c r="R70" s="598"/>
      <c r="S70" s="576" t="s">
        <v>707</v>
      </c>
      <c r="T70" s="577"/>
    </row>
    <row r="71" spans="1:20" s="1" customFormat="1" x14ac:dyDescent="0.35">
      <c r="A71" s="582" t="s">
        <v>701</v>
      </c>
      <c r="B71" s="578" t="s">
        <v>634</v>
      </c>
      <c r="C71" s="579">
        <v>3</v>
      </c>
      <c r="D71" s="578"/>
      <c r="E71" s="579"/>
      <c r="F71" s="579"/>
      <c r="G71" s="579"/>
      <c r="H71" s="579"/>
      <c r="I71" s="579"/>
      <c r="J71" s="579" t="s">
        <v>685</v>
      </c>
      <c r="K71" s="579" t="s">
        <v>686</v>
      </c>
      <c r="L71" s="581">
        <f>4668*13*1.338*1.07*1.05</f>
        <v>91222.798212000023</v>
      </c>
      <c r="M71" s="579" t="s">
        <v>467</v>
      </c>
      <c r="N71" s="592"/>
      <c r="O71" s="579" t="s">
        <v>687</v>
      </c>
      <c r="P71" s="579">
        <v>1</v>
      </c>
      <c r="Q71" s="579" t="s">
        <v>702</v>
      </c>
      <c r="R71" s="598"/>
      <c r="S71" s="576" t="s">
        <v>705</v>
      </c>
      <c r="T71" s="577"/>
    </row>
  </sheetData>
  <mergeCells count="28">
    <mergeCell ref="Q4:Q5"/>
    <mergeCell ref="E3:I3"/>
    <mergeCell ref="A4:A5"/>
    <mergeCell ref="B4:B5"/>
    <mergeCell ref="C4:C5"/>
    <mergeCell ref="D4:D5"/>
    <mergeCell ref="E4:I4"/>
    <mergeCell ref="P4:P5"/>
    <mergeCell ref="J4:J5"/>
    <mergeCell ref="K4:K5"/>
    <mergeCell ref="L4:L5"/>
    <mergeCell ref="M4:M5"/>
    <mergeCell ref="N4:N5"/>
    <mergeCell ref="O4:O5"/>
    <mergeCell ref="Q55:Q56"/>
    <mergeCell ref="E54:I54"/>
    <mergeCell ref="A55:A56"/>
    <mergeCell ref="B55:B56"/>
    <mergeCell ref="C55:C56"/>
    <mergeCell ref="D55:D56"/>
    <mergeCell ref="E55:I55"/>
    <mergeCell ref="J55:J56"/>
    <mergeCell ref="K55:K56"/>
    <mergeCell ref="L55:L56"/>
    <mergeCell ref="M55:M56"/>
    <mergeCell ref="N55:N56"/>
    <mergeCell ref="O55:O56"/>
    <mergeCell ref="P55:P56"/>
  </mergeCells>
  <dataValidations count="4">
    <dataValidation type="list" allowBlank="1" showInputMessage="1" showErrorMessage="1" sqref="D57:D71 B18:B19 D6:D16" xr:uid="{2FA50F5F-40D3-49BA-8634-4445BF51DC1D}">
      <formula1>$D$23:$D$47</formula1>
    </dataValidation>
    <dataValidation type="list" allowBlank="1" showInputMessage="1" showErrorMessage="1" sqref="B57:B71 B6:B16" xr:uid="{5B7E6FBB-AD27-4D99-8790-C4E68A7419C5}">
      <formula1>$B$23:$B$33</formula1>
    </dataValidation>
    <dataValidation type="list" allowBlank="1" showInputMessage="1" showErrorMessage="1" sqref="C57:C71 C18:C19 C6:C16" xr:uid="{B1847730-2270-4259-B82F-709B212312D8}">
      <formula1>$C$23:$C$26</formula1>
    </dataValidation>
    <dataValidation type="list" allowBlank="1" showInputMessage="1" showErrorMessage="1" sqref="C17" xr:uid="{E424042B-DC88-4D77-948C-3660F91EBFC9}">
      <formula1>$C$78:$C$81</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CC1CE044DC451747BD4055C09D9A819D" ma:contentTypeVersion="6" ma:contentTypeDescription="Loo uus dokument" ma:contentTypeScope="" ma:versionID="5dbf104413aad6d1f3068df56361e820">
  <xsd:schema xmlns:xsd="http://www.w3.org/2001/XMLSchema" xmlns:xs="http://www.w3.org/2001/XMLSchema" xmlns:p="http://schemas.microsoft.com/office/2006/metadata/properties" xmlns:ns2="aff8a95a-bdca-4bd1-9f28-df5ebd643b89" xmlns:ns3="a73be6a9-67eb-46ae-9de8-8938dc5167a5" targetNamespace="http://schemas.microsoft.com/office/2006/metadata/properties" ma:root="true" ma:fieldsID="9f9bb65593e497b3d266f843e2329ecc" ns2:_="" ns3:_="">
    <xsd:import namespace="aff8a95a-bdca-4bd1-9f28-df5ebd643b89"/>
    <xsd:import namespace="a73be6a9-67eb-46ae-9de8-8938dc5167a5"/>
    <xsd:element name="properties">
      <xsd:complexType>
        <xsd:sequence>
          <xsd:element name="documentManagement">
            <xsd:complexType>
              <xsd:all>
                <xsd:element ref="ns2:_dlc_DocId" minOccurs="0"/>
                <xsd:element ref="ns2:_dlc_DocIdUrl" minOccurs="0"/>
                <xsd:element ref="ns2:_dlc_DocIdPersistId" minOccurs="0"/>
                <xsd:element ref="ns3:Vastutaja" minOccurs="0"/>
                <xsd:element ref="ns2:SharedWithUsers" minOccurs="0"/>
                <xsd:element ref="ns2:SharedWithDetails" minOccurs="0"/>
                <xsd:element ref="ns3:Lisainfo" minOccurs="0"/>
                <xsd:element ref="ns3:muutmisaeg" minOccurs="0"/>
                <xsd:element ref="ns3:Valdko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3be6a9-67eb-46ae-9de8-8938dc5167a5" elementFormDefault="qualified">
    <xsd:import namespace="http://schemas.microsoft.com/office/2006/documentManagement/types"/>
    <xsd:import namespace="http://schemas.microsoft.com/office/infopath/2007/PartnerControls"/>
    <xsd:element name="Vastutaja" ma:index="11" nillable="true" ma:displayName="Vastutaja" ma:list="UserInfo" ma:SharePointGroup="0" ma:internalName="Vastutaj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sainfo" ma:index="14" nillable="true" ma:displayName="Lisainfo" ma:internalName="Lisainfo">
      <xsd:simpleType>
        <xsd:restriction base="dms:Note">
          <xsd:maxLength value="255"/>
        </xsd:restriction>
      </xsd:simpleType>
    </xsd:element>
    <xsd:element name="muutmisaeg" ma:index="15" nillable="true" ma:displayName="muutmisaeg" ma:format="DateOnly" ma:internalName="muutmisaeg">
      <xsd:simpleType>
        <xsd:restriction base="dms:DateTime"/>
      </xsd:simpleType>
    </xsd:element>
    <xsd:element name="Valdkond" ma:index="16" nillable="true" ma:displayName="Valdkond" ma:internalName="Valdkond">
      <xsd:complexType>
        <xsd:complexContent>
          <xsd:extension base="dms:MultiChoice">
            <xsd:sequence>
              <xsd:element name="Value" maxOccurs="unbounded" minOccurs="0" nillable="true">
                <xsd:simpleType>
                  <xsd:restriction base="dms:Choice">
                    <xsd:enumeration value="Analüüs / uuringud"/>
                    <xsd:enumeration value="Finants"/>
                    <xsd:enumeration value="Innovatsioon"/>
                    <xsd:enumeration value="Juhtimine"/>
                    <xsd:enumeration value="Kinnisvara"/>
                    <xsd:enumeration value="Komisjon / töörühm"/>
                    <xsd:enumeration value="Kommunikatsioon"/>
                    <xsd:enumeration value="Kriisijuhtimine"/>
                    <xsd:enumeration value="Personal"/>
                    <xsd:enumeration value="Siseaudit"/>
                    <xsd:enumeration value="Sotsiaal"/>
                    <xsd:enumeration value="Tervis"/>
                    <xsd:enumeration value="Õigu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uutmisaeg xmlns="a73be6a9-67eb-46ae-9de8-8938dc5167a5" xsi:nil="true"/>
    <Valdkond xmlns="a73be6a9-67eb-46ae-9de8-8938dc5167a5"/>
    <Vastutaja xmlns="a73be6a9-67eb-46ae-9de8-8938dc5167a5">
      <UserInfo>
        <DisplayName/>
        <AccountId xsi:nil="true"/>
        <AccountType/>
      </UserInfo>
    </Vastutaja>
    <Lisainfo xmlns="a73be6a9-67eb-46ae-9de8-8938dc5167a5" xsi:nil="true"/>
    <_dlc_DocId xmlns="aff8a95a-bdca-4bd1-9f28-df5ebd643b89">HXU5DPSK444F-1907963284-19663</_dlc_DocId>
    <_dlc_DocIdUrl xmlns="aff8a95a-bdca-4bd1-9f28-df5ebd643b89">
      <Url>https://kontor.rik.ee/projektid_valispartneritega/_layouts/15/DocIdRedir.aspx?ID=HXU5DPSK444F-1907963284-19663</Url>
      <Description>HXU5DPSK444F-1907963284-19663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A3C960-9155-45E6-B456-1053396E7B06}">
  <ds:schemaRefs>
    <ds:schemaRef ds:uri="http://schemas.microsoft.com/sharepoint/events"/>
  </ds:schemaRefs>
</ds:datastoreItem>
</file>

<file path=customXml/itemProps2.xml><?xml version="1.0" encoding="utf-8"?>
<ds:datastoreItem xmlns:ds="http://schemas.openxmlformats.org/officeDocument/2006/customXml" ds:itemID="{CF7CFB5F-035F-4958-BAAF-9537AC9A8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a73be6a9-67eb-46ae-9de8-8938dc516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7033A-3F22-4301-BC4B-B1C7D3123093}">
  <ds:schemaRefs>
    <ds:schemaRef ds:uri="http://schemas.microsoft.com/office/2006/metadata/properties"/>
    <ds:schemaRef ds:uri="http://schemas.microsoft.com/office/infopath/2007/PartnerControls"/>
    <ds:schemaRef ds:uri="a73be6a9-67eb-46ae-9de8-8938dc5167a5"/>
    <ds:schemaRef ds:uri="aff8a95a-bdca-4bd1-9f28-df5ebd643b89"/>
  </ds:schemaRefs>
</ds:datastoreItem>
</file>

<file path=customXml/itemProps4.xml><?xml version="1.0" encoding="utf-8"?>
<ds:datastoreItem xmlns:ds="http://schemas.openxmlformats.org/officeDocument/2006/customXml" ds:itemID="{BC5DC840-CA6B-439F-916F-55162E871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1</vt:i4>
      </vt:variant>
    </vt:vector>
  </HeadingPairs>
  <TitlesOfParts>
    <vt:vector size="8" baseType="lpstr">
      <vt:lpstr>kuni 2025 detsember tegevuskava</vt:lpstr>
      <vt:lpstr>Seirearuanne</vt:lpstr>
      <vt:lpstr>Tegevuskava</vt:lpstr>
      <vt:lpstr>KK_lisa</vt:lpstr>
      <vt:lpstr>Ettekande arvutused</vt:lpstr>
      <vt:lpstr>Personal tervise valdkond</vt:lpstr>
      <vt:lpstr>Personal sots-kaitse valdkond</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 Vällik</dc:creator>
  <cp:keywords/>
  <dc:description/>
  <cp:lastModifiedBy>Marje Pihl</cp:lastModifiedBy>
  <cp:revision/>
  <dcterms:created xsi:type="dcterms:W3CDTF">2020-07-01T09:13:12Z</dcterms:created>
  <dcterms:modified xsi:type="dcterms:W3CDTF">2024-07-02T06:10:15Z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0x010100CC1CE044DC451747BD4055C09D9A819D</vt:lpwstr>
  </property>
  <property fmtid="{D5CDD505-2E9C-101B-9397-08002B2CF9AE}" pid="3" name="_dlc_DocIdItemGuid">
    <vt:lpwstr>7ee34b41-14df-49f6-80df-50f32d67c5a8</vt:lpwstr>
  </property>
  <property fmtid="{D5CDD505-2E9C-101B-9397-08002B2CF9AE}" pid="4" name="MediaServiceImageTags">
    <vt:lpwstr/>
  </property>
</Properties>
</file>